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Márcio\DIVERSOS\Henrique ATP\Centro de Convenções UFPE\Projetos de Terraplenagem, Drenagem e Pavimentação\Terraplenagem\"/>
    </mc:Choice>
  </mc:AlternateContent>
  <bookViews>
    <workbookView xWindow="60" yWindow="600" windowWidth="12510" windowHeight="11160" tabRatio="656" activeTab="2" xr2:uid="{00000000-000D-0000-FFFF-FFFF00000000}"/>
  </bookViews>
  <sheets>
    <sheet name="resumo" sheetId="14" r:id="rId1"/>
    <sheet name="Distribuição" sheetId="1" r:id="rId2"/>
    <sheet name="Resumo dos Cortes" sheetId="9" r:id="rId3"/>
  </sheets>
  <definedNames>
    <definedName name="_xlnm._FilterDatabase" localSheetId="1" hidden="1">Distribuição!$A$10:$AV$32</definedName>
    <definedName name="_xlnm._FilterDatabase" localSheetId="2" hidden="1">'Resumo dos Cortes'!$A$13:$R$34</definedName>
    <definedName name="_xlnm.Print_Area" localSheetId="1">Distribuição!$A$1:$AV$39</definedName>
    <definedName name="_xlnm.Print_Area" localSheetId="0">resumo!$A$1:$U$53</definedName>
    <definedName name="_xlnm.Print_Area" localSheetId="2">'Resumo dos Cortes'!$A$1:$L$36</definedName>
    <definedName name="_xlnm.Print_Titles" localSheetId="1">Distribuição!$1:$9</definedName>
    <definedName name="_xlnm.Print_Titles" localSheetId="2">'Resumo dos Cortes'!$1:$12</definedName>
  </definedNames>
  <calcPr calcId="171027" fullPrecision="0"/>
</workbook>
</file>

<file path=xl/calcChain.xml><?xml version="1.0" encoding="utf-8"?>
<calcChain xmlns="http://schemas.openxmlformats.org/spreadsheetml/2006/main">
  <c r="J19" i="9" l="1"/>
  <c r="J29" i="9"/>
  <c r="H28" i="9"/>
  <c r="J27" i="9"/>
  <c r="J15" i="9"/>
  <c r="J34" i="9" l="1"/>
  <c r="J33" i="9"/>
  <c r="J32" i="9"/>
  <c r="J30" i="9"/>
  <c r="J25" i="9"/>
  <c r="J23" i="9"/>
  <c r="J17" i="9"/>
  <c r="AM28" i="1" l="1"/>
  <c r="AS28" i="1" s="1"/>
  <c r="AM25" i="1"/>
  <c r="AS25" i="1" s="1"/>
  <c r="AM23" i="1"/>
  <c r="AM21" i="1"/>
  <c r="AM19" i="1"/>
  <c r="AM18" i="1"/>
  <c r="AM17" i="1"/>
  <c r="AM15" i="1"/>
  <c r="AM13" i="1"/>
  <c r="AM11" i="1"/>
  <c r="G31" i="1"/>
  <c r="AD31" i="1" s="1"/>
  <c r="G30" i="1"/>
  <c r="AD30" i="1" s="1"/>
  <c r="G29" i="1"/>
  <c r="AD29" i="1" s="1"/>
  <c r="G27" i="1"/>
  <c r="AD27" i="1" s="1"/>
  <c r="G26" i="1"/>
  <c r="AD26" i="1" s="1"/>
  <c r="G24" i="1"/>
  <c r="G22" i="1"/>
  <c r="G20" i="1"/>
  <c r="G16" i="1"/>
  <c r="G14" i="1"/>
  <c r="G12" i="1"/>
  <c r="F8" i="14" l="1"/>
  <c r="Q31" i="1" l="1"/>
  <c r="P31" i="1"/>
  <c r="N31" i="1"/>
  <c r="AB31" i="1" s="1"/>
  <c r="Q30" i="1"/>
  <c r="P30" i="1"/>
  <c r="N30" i="1"/>
  <c r="AB30" i="1" s="1"/>
  <c r="P29" i="1"/>
  <c r="B28" i="1"/>
  <c r="C28" i="1" s="1"/>
  <c r="Q27" i="1"/>
  <c r="P27" i="1"/>
  <c r="P26" i="1"/>
  <c r="B25" i="1"/>
  <c r="AU24" i="1"/>
  <c r="P24" i="1"/>
  <c r="N24" i="1"/>
  <c r="AB24" i="1" s="1"/>
  <c r="AU23" i="1"/>
  <c r="N23" i="1"/>
  <c r="AR23" i="1" s="1"/>
  <c r="B23" i="1"/>
  <c r="E23" i="1" s="1"/>
  <c r="AU22" i="1"/>
  <c r="P22" i="1"/>
  <c r="N22" i="1"/>
  <c r="AB22" i="1" s="1"/>
  <c r="AU21" i="1"/>
  <c r="N21" i="1"/>
  <c r="AR21" i="1" s="1"/>
  <c r="B21" i="1"/>
  <c r="E21" i="1" s="1"/>
  <c r="AU20" i="1"/>
  <c r="P20" i="1"/>
  <c r="N20" i="1"/>
  <c r="AB20" i="1" s="1"/>
  <c r="AU19" i="1"/>
  <c r="N19" i="1"/>
  <c r="AR19" i="1" s="1"/>
  <c r="B19" i="1"/>
  <c r="E19" i="1" s="1"/>
  <c r="AU18" i="1"/>
  <c r="N18" i="1"/>
  <c r="AR18" i="1" s="1"/>
  <c r="B18" i="1"/>
  <c r="I18" i="1" s="1"/>
  <c r="AU17" i="1"/>
  <c r="N17" i="1"/>
  <c r="AR17" i="1" s="1"/>
  <c r="B17" i="1"/>
  <c r="I17" i="1" s="1"/>
  <c r="AU16" i="1"/>
  <c r="P16" i="1"/>
  <c r="N16" i="1"/>
  <c r="AB16" i="1" s="1"/>
  <c r="AU15" i="1"/>
  <c r="N15" i="1"/>
  <c r="AR15" i="1" s="1"/>
  <c r="B15" i="1"/>
  <c r="E15" i="1" s="1"/>
  <c r="AU14" i="1"/>
  <c r="AU13" i="1"/>
  <c r="AU12" i="1"/>
  <c r="AU11" i="1"/>
  <c r="P14" i="1"/>
  <c r="N14" i="1"/>
  <c r="AB14" i="1" s="1"/>
  <c r="N13" i="1"/>
  <c r="AR13" i="1" s="1"/>
  <c r="B13" i="1"/>
  <c r="H13" i="1" s="1"/>
  <c r="W12" i="1"/>
  <c r="V12" i="1"/>
  <c r="U12" i="1"/>
  <c r="S12" i="1"/>
  <c r="R12" i="1"/>
  <c r="Q12" i="1"/>
  <c r="P12" i="1"/>
  <c r="N12" i="1"/>
  <c r="AB12" i="1" s="1"/>
  <c r="N11" i="1"/>
  <c r="AR11" i="1" s="1"/>
  <c r="B11" i="1"/>
  <c r="G11" i="1" s="1"/>
  <c r="AD12" i="1" l="1"/>
  <c r="AF12" i="1" s="1"/>
  <c r="AF30" i="1"/>
  <c r="AF31" i="1"/>
  <c r="E11" i="1"/>
  <c r="D13" i="1"/>
  <c r="I13" i="1"/>
  <c r="E17" i="1"/>
  <c r="E18" i="1"/>
  <c r="C25" i="1"/>
  <c r="H23" i="1"/>
  <c r="D23" i="1"/>
  <c r="I23" i="1"/>
  <c r="G23" i="1"/>
  <c r="C23" i="1"/>
  <c r="G21" i="1"/>
  <c r="C21" i="1"/>
  <c r="H21" i="1"/>
  <c r="D21" i="1"/>
  <c r="I21" i="1"/>
  <c r="G19" i="1"/>
  <c r="C19" i="1"/>
  <c r="H19" i="1"/>
  <c r="D19" i="1"/>
  <c r="I19" i="1"/>
  <c r="C18" i="1"/>
  <c r="H18" i="1"/>
  <c r="G18" i="1"/>
  <c r="D18" i="1"/>
  <c r="C17" i="1"/>
  <c r="H17" i="1"/>
  <c r="G17" i="1"/>
  <c r="D17" i="1"/>
  <c r="D15" i="1"/>
  <c r="G15" i="1"/>
  <c r="C15" i="1"/>
  <c r="H15" i="1"/>
  <c r="I15" i="1"/>
  <c r="E13" i="1"/>
  <c r="G13" i="1"/>
  <c r="C13" i="1"/>
  <c r="C11" i="1"/>
  <c r="H11" i="1"/>
  <c r="D11" i="1"/>
  <c r="I11" i="1"/>
  <c r="K34" i="9"/>
  <c r="K33" i="9"/>
  <c r="AS11" i="1" l="1"/>
  <c r="AT11" i="1" s="1"/>
  <c r="AS17" i="1"/>
  <c r="AT17" i="1" s="1"/>
  <c r="AS18" i="1"/>
  <c r="AT18" i="1" s="1"/>
  <c r="AS13" i="1"/>
  <c r="AT13" i="1" s="1"/>
  <c r="AS19" i="1"/>
  <c r="AT19" i="1" s="1"/>
  <c r="AS23" i="1"/>
  <c r="AT23" i="1" s="1"/>
  <c r="AS15" i="1"/>
  <c r="AT15" i="1" s="1"/>
  <c r="AS21" i="1"/>
  <c r="AT21" i="1" s="1"/>
  <c r="N29" i="1"/>
  <c r="H31" i="9"/>
  <c r="N28" i="1" s="1"/>
  <c r="AR28" i="1" s="1"/>
  <c r="AT28" i="1" s="1"/>
  <c r="K32" i="9"/>
  <c r="Q29" i="1"/>
  <c r="N27" i="1"/>
  <c r="Q26" i="1"/>
  <c r="K29" i="9"/>
  <c r="K27" i="9"/>
  <c r="K25" i="9"/>
  <c r="K23" i="9"/>
  <c r="K19" i="9"/>
  <c r="K17" i="9"/>
  <c r="K15" i="9"/>
  <c r="AB27" i="1" l="1"/>
  <c r="AF27" i="1"/>
  <c r="AB29" i="1"/>
  <c r="AF29" i="1"/>
  <c r="J36" i="9"/>
  <c r="N26" i="1"/>
  <c r="H36" i="9"/>
  <c r="E15" i="14" s="1"/>
  <c r="N25" i="1"/>
  <c r="AR25" i="1" s="1"/>
  <c r="AT25" i="1" s="1"/>
  <c r="I36" i="9"/>
  <c r="G46" i="14" l="1"/>
  <c r="G43" i="14"/>
  <c r="J38" i="9"/>
  <c r="H38" i="9"/>
  <c r="Q22" i="1"/>
  <c r="R14" i="1"/>
  <c r="V20" i="1"/>
  <c r="S14" i="1"/>
  <c r="AB26" i="1"/>
  <c r="AB33" i="1" s="1"/>
  <c r="AF26" i="1"/>
  <c r="AR33" i="1"/>
  <c r="W20" i="1"/>
  <c r="Q16" i="1"/>
  <c r="W24" i="1"/>
  <c r="U22" i="1"/>
  <c r="S24" i="1"/>
  <c r="W22" i="1"/>
  <c r="Q14" i="1"/>
  <c r="V22" i="1"/>
  <c r="K36" i="9"/>
  <c r="K38" i="9" s="1"/>
  <c r="U24" i="1"/>
  <c r="S22" i="1"/>
  <c r="R20" i="1"/>
  <c r="V16" i="1"/>
  <c r="V14" i="1"/>
  <c r="R24" i="1"/>
  <c r="S16" i="1"/>
  <c r="V24" i="1"/>
  <c r="R16" i="1"/>
  <c r="R22" i="1"/>
  <c r="Q20" i="1"/>
  <c r="U16" i="1"/>
  <c r="W14" i="1"/>
  <c r="U20" i="1"/>
  <c r="U14" i="1"/>
  <c r="Q24" i="1"/>
  <c r="S20" i="1"/>
  <c r="W16" i="1"/>
  <c r="G15" i="14"/>
  <c r="G24" i="14" s="1"/>
  <c r="I38" i="9"/>
  <c r="E17" i="14"/>
  <c r="AD20" i="1" l="1"/>
  <c r="AF20" i="1" s="1"/>
  <c r="AD14" i="1"/>
  <c r="AF14" i="1" s="1"/>
  <c r="AD16" i="1"/>
  <c r="AF16" i="1" s="1"/>
  <c r="AD24" i="1"/>
  <c r="AF24" i="1" s="1"/>
  <c r="G49" i="14"/>
  <c r="G35" i="14"/>
  <c r="AD22" i="1"/>
  <c r="AF22" i="1" s="1"/>
  <c r="F24" i="14"/>
  <c r="F26" i="14" s="1"/>
  <c r="G17" i="14"/>
  <c r="G26" i="14"/>
  <c r="G34" i="14" l="1"/>
  <c r="G37" i="14" s="1"/>
  <c r="F15" i="14"/>
  <c r="E24" i="14" s="1"/>
  <c r="O63" i="1"/>
  <c r="AT33" i="1" l="1"/>
  <c r="AS33" i="1" s="1"/>
  <c r="O53" i="1"/>
  <c r="O49" i="1"/>
  <c r="O48" i="1"/>
  <c r="O54" i="1"/>
  <c r="O58" i="1"/>
  <c r="O47" i="1"/>
  <c r="O56" i="1"/>
  <c r="O55" i="1"/>
  <c r="O50" i="1"/>
  <c r="O57" i="1"/>
  <c r="O52" i="1"/>
  <c r="O51" i="1"/>
  <c r="O59" i="1" l="1"/>
  <c r="O60" i="1" l="1"/>
  <c r="AC33" i="1" l="1"/>
  <c r="O61" i="1" l="1"/>
  <c r="O33" i="1" l="1"/>
  <c r="F17" i="14" l="1"/>
  <c r="I17" i="14" s="1"/>
  <c r="G18" i="14" s="1"/>
  <c r="I15" i="14"/>
  <c r="O62" i="1"/>
  <c r="N33" i="1"/>
  <c r="E26" i="14" l="1"/>
  <c r="H26" i="14" s="1"/>
  <c r="G27" i="14" s="1"/>
  <c r="H24" i="14"/>
  <c r="AE33" i="1"/>
  <c r="AD33" i="1" s="1"/>
  <c r="AF33" i="1"/>
</calcChain>
</file>

<file path=xl/sharedStrings.xml><?xml version="1.0" encoding="utf-8"?>
<sst xmlns="http://schemas.openxmlformats.org/spreadsheetml/2006/main" count="323" uniqueCount="147">
  <si>
    <t>PROCEDÊNCIA DO MATERIAL ESCAVADO</t>
  </si>
  <si>
    <t>LOCALIZAÇÃO</t>
  </si>
  <si>
    <r>
      <t>VOLUME - m</t>
    </r>
    <r>
      <rPr>
        <b/>
        <vertAlign val="superscript"/>
        <sz val="9"/>
        <rFont val="Arial"/>
        <family val="2"/>
      </rPr>
      <t>3</t>
    </r>
  </si>
  <si>
    <t>DESTINO DO MATERIAL ESCAVADO</t>
  </si>
  <si>
    <t>ATERRO</t>
  </si>
  <si>
    <t>Corte (C)          Rebaixo de Corte                                              (Rc)                                Alargamento (Ac) Empréstimo (E) Empréstimo                                      Lateral (EL)</t>
  </si>
  <si>
    <r>
      <t>MOMENTO                 DE TRANSPORTE      m</t>
    </r>
    <r>
      <rPr>
        <b/>
        <vertAlign val="superscript"/>
        <sz val="9"/>
        <rFont val="Arial"/>
        <family val="2"/>
      </rPr>
      <t>3</t>
    </r>
    <r>
      <rPr>
        <b/>
        <sz val="9"/>
        <rFont val="Arial"/>
        <family val="2"/>
      </rPr>
      <t xml:space="preserve"> x km</t>
    </r>
  </si>
  <si>
    <t>1ª                    CATEGORIA</t>
  </si>
  <si>
    <t>3ª                    CATEGORIA</t>
  </si>
  <si>
    <t>BOTA - FORA</t>
  </si>
  <si>
    <t>ESTACA - ESTACA (Lado)</t>
  </si>
  <si>
    <t>TOTAL</t>
  </si>
  <si>
    <t>OBS.:</t>
  </si>
  <si>
    <t>-</t>
  </si>
  <si>
    <t>RESUMO:</t>
  </si>
  <si>
    <t>Esc. carga transp. mat 1ª cat DMT 51 a 200m com escavadeira</t>
  </si>
  <si>
    <t>Esc. carga transp. mat 1ª cat DMT 201 a 400m com escavadeira</t>
  </si>
  <si>
    <t>Esc. carga transp. mat 1ª cat DMT 401 a 600m com escavadeira</t>
  </si>
  <si>
    <t>Esc. carga transp. mat 1ª cat DMT 601 a 800m com escavadeira</t>
  </si>
  <si>
    <t>Esc. carga transp. mat 1ª cat DMT 801 a 1000m com escavadeira</t>
  </si>
  <si>
    <t>Esc. carga transp. mat 1ª cat DMT 1001 a 1200m com escavadeira</t>
  </si>
  <si>
    <t>Esc. carga transp. mat 1ª cat DMT 1201 a 1400m com escavadeira</t>
  </si>
  <si>
    <t>Esc. carga transp. mat 1ª cat DMT 1401 a 1600m com escavadeira</t>
  </si>
  <si>
    <t>Esc. carga transp. mat 1ª cat DMT 1601 a 1800m com escavadeira</t>
  </si>
  <si>
    <t>Esc. carga transp. mat 1ª cat DMT 1801 a 2000m com escavadeira</t>
  </si>
  <si>
    <t>Esc. carga transp. mat 1ª cat DMT 2001 a 3000m com escavadeira</t>
  </si>
  <si>
    <t>Esc. carga transp. mat 1ª cat DMT 3001 a 5000m com escavadeira</t>
  </si>
  <si>
    <t>Esc. carga transp. mat 1ª cat DMT 0 a 50m com escavadeira</t>
  </si>
  <si>
    <t>Compactação de aterros a 100% proctor normal</t>
  </si>
  <si>
    <t>Compactação de aterros a 100% proctor intermediário</t>
  </si>
  <si>
    <t>Corte
Nº</t>
  </si>
  <si>
    <t>Estaca Inicial</t>
  </si>
  <si>
    <t>Estaca Final</t>
  </si>
  <si>
    <t>Obs.:</t>
  </si>
  <si>
    <t>a</t>
  </si>
  <si>
    <t>+</t>
  </si>
  <si>
    <t>Transp. local c/ basc. 10m3 rodov. pav (const) - DMT &gt; 5km</t>
  </si>
  <si>
    <t>Compactação material em bota-fora</t>
  </si>
  <si>
    <t>C.1</t>
  </si>
  <si>
    <t>C.2</t>
  </si>
  <si>
    <t>C.3</t>
  </si>
  <si>
    <t>C.4</t>
  </si>
  <si>
    <t>C.5</t>
  </si>
  <si>
    <t>A.1</t>
  </si>
  <si>
    <t>A.2</t>
  </si>
  <si>
    <t>A.3</t>
  </si>
  <si>
    <t>à</t>
  </si>
  <si>
    <t>D.M.T                             k m</t>
  </si>
  <si>
    <t>D.M.T                          km</t>
  </si>
  <si>
    <r>
      <t>MOMENTO DE TRANSPORTE                                m</t>
    </r>
    <r>
      <rPr>
        <b/>
        <vertAlign val="superscript"/>
        <sz val="9"/>
        <rFont val="Arial"/>
        <family val="2"/>
      </rPr>
      <t>3</t>
    </r>
    <r>
      <rPr>
        <b/>
        <sz val="9"/>
        <rFont val="Arial"/>
        <family val="2"/>
      </rPr>
      <t xml:space="preserve"> x km</t>
    </r>
  </si>
  <si>
    <t>Aterro (A)                                   Preenchimento Rebaixo (Pr)</t>
  </si>
  <si>
    <t>ESTACA - ESTACA</t>
  </si>
  <si>
    <t>RESUMO TERRAPLENAGEM</t>
  </si>
  <si>
    <t>Volumes</t>
  </si>
  <si>
    <t>Preench. Rebaixo</t>
  </si>
  <si>
    <t>Rebaixo</t>
  </si>
  <si>
    <t>Corte</t>
  </si>
  <si>
    <t>Aterro</t>
  </si>
  <si>
    <t>Rua 01 e 03</t>
  </si>
  <si>
    <t>Rua 02 e 09</t>
  </si>
  <si>
    <t>Rua 04</t>
  </si>
  <si>
    <t>C.6</t>
  </si>
  <si>
    <t>A.6</t>
  </si>
  <si>
    <t>Rua 05</t>
  </si>
  <si>
    <t>Rua 06</t>
  </si>
  <si>
    <t>C.7</t>
  </si>
  <si>
    <t>A.7</t>
  </si>
  <si>
    <t>Rua 07</t>
  </si>
  <si>
    <t>C.8</t>
  </si>
  <si>
    <t>A.8</t>
  </si>
  <si>
    <t>Rua 08</t>
  </si>
  <si>
    <t>C.10</t>
  </si>
  <si>
    <t>A.10</t>
  </si>
  <si>
    <t>Rua 10</t>
  </si>
  <si>
    <t>C.9</t>
  </si>
  <si>
    <t>A.9</t>
  </si>
  <si>
    <t>A.11</t>
  </si>
  <si>
    <t>Plantô Concha Acústica</t>
  </si>
  <si>
    <t>A.12</t>
  </si>
  <si>
    <t>Plantô Esplanada do Teatro</t>
  </si>
  <si>
    <t>Plantô Cinema</t>
  </si>
  <si>
    <t>A.13</t>
  </si>
  <si>
    <t>Rampa Ac. Serviços - Veículos</t>
  </si>
  <si>
    <t>Rampa Ac. Serviços - Pedestres</t>
  </si>
  <si>
    <t>1ª</t>
  </si>
  <si>
    <t>3ª</t>
  </si>
  <si>
    <t>BF-1</t>
  </si>
  <si>
    <t>km</t>
  </si>
  <si>
    <t xml:space="preserve">             1.</t>
  </si>
  <si>
    <t xml:space="preserve">                6.</t>
  </si>
  <si>
    <t>DISTRIBUIÇÃO DOS MATERIAIS ESCAVADOS:</t>
  </si>
  <si>
    <t xml:space="preserve">    6.1</t>
  </si>
  <si>
    <t>Escavação, carga e transporte em material de 1ª Categoria, com DMT:</t>
  </si>
  <si>
    <t>Bota-Fora</t>
  </si>
  <si>
    <t>rebaixo</t>
  </si>
  <si>
    <t xml:space="preserve">: </t>
  </si>
  <si>
    <t>Total</t>
  </si>
  <si>
    <t>:</t>
  </si>
  <si>
    <t>m²</t>
  </si>
  <si>
    <t xml:space="preserve">             4.</t>
  </si>
  <si>
    <t>ORIGEM DOS MATERIAIS ESCAVADOS</t>
  </si>
  <si>
    <t>Classificação dos Materiais</t>
  </si>
  <si>
    <t>Cortes</t>
  </si>
  <si>
    <t>Empréstimo</t>
  </si>
  <si>
    <t>Rebaixo em Corte</t>
  </si>
  <si>
    <t>Ocorrências</t>
  </si>
  <si>
    <t>1ª Categoria</t>
  </si>
  <si>
    <t xml:space="preserve">  Total</t>
  </si>
  <si>
    <t>m³</t>
  </si>
  <si>
    <t xml:space="preserve">             5.</t>
  </si>
  <si>
    <t>DESTINO DOS MATERIAIS ESCAVADOS</t>
  </si>
  <si>
    <t xml:space="preserve">                7.</t>
  </si>
  <si>
    <t>COMPACTAÇÃO DE ATERROS</t>
  </si>
  <si>
    <t>Preenchimento
de Rebaixo</t>
  </si>
  <si>
    <t>Bota - Fora</t>
  </si>
  <si>
    <t xml:space="preserve">                7.1</t>
  </si>
  <si>
    <t xml:space="preserve">                7.2</t>
  </si>
  <si>
    <t>A 100% DO PROCTOR INTERMEDIÁRIO</t>
  </si>
  <si>
    <t>OBSERVAÇÕES :</t>
  </si>
  <si>
    <t>1.</t>
  </si>
  <si>
    <t>PARÂMETROS CONSTRUTIVOS DAS CAMADAS</t>
  </si>
  <si>
    <t>CAMADA</t>
  </si>
  <si>
    <t>MATERIAIS A UTILIZAR</t>
  </si>
  <si>
    <t>ISC</t>
  </si>
  <si>
    <t>EXPANSÃO</t>
  </si>
  <si>
    <t>Corpo do aterro</t>
  </si>
  <si>
    <t>&gt; 2%</t>
  </si>
  <si>
    <t>&lt; 4%</t>
  </si>
  <si>
    <t>Camada Final</t>
  </si>
  <si>
    <t>&lt; 2%</t>
  </si>
  <si>
    <t>2.</t>
  </si>
  <si>
    <t xml:space="preserve"> Foi utilizado um fator de compactação igual a 25%;</t>
  </si>
  <si>
    <t>LIMPEZA DO TERRENO</t>
  </si>
  <si>
    <t>m3</t>
  </si>
  <si>
    <t>&gt; 8%</t>
  </si>
  <si>
    <t>E.1</t>
  </si>
  <si>
    <t>-          Austre</t>
  </si>
  <si>
    <t>. de 9000 a 11000m</t>
  </si>
  <si>
    <t>. de 17000 a 19000m</t>
  </si>
  <si>
    <t xml:space="preserve">                8.</t>
  </si>
  <si>
    <t>COMPACTAÇÃO DE MATERIAL DE BOTA-FORA</t>
  </si>
  <si>
    <t xml:space="preserve"> </t>
  </si>
  <si>
    <r>
      <rPr>
        <b/>
        <sz val="10"/>
        <rFont val="Arial"/>
        <family val="2"/>
      </rPr>
      <t>Acessos e Estacionamento:</t>
    </r>
    <r>
      <rPr>
        <sz val="10"/>
        <rFont val="Arial"/>
        <family val="2"/>
      </rPr>
      <t xml:space="preserve">                                                                26.500,00     m²</t>
    </r>
  </si>
  <si>
    <r>
      <rPr>
        <b/>
        <sz val="10"/>
        <rFont val="Arial"/>
        <family val="2"/>
      </rPr>
      <t>Área Cinema e Concha Acústica:</t>
    </r>
    <r>
      <rPr>
        <sz val="10"/>
        <rFont val="Arial"/>
        <family val="2"/>
      </rPr>
      <t xml:space="preserve">                                                  1.500,00        m²</t>
    </r>
  </si>
  <si>
    <r>
      <rPr>
        <b/>
        <sz val="10"/>
        <rFont val="Arial"/>
        <family val="2"/>
      </rPr>
      <t xml:space="preserve">Canteiros:                                                                          </t>
    </r>
    <r>
      <rPr>
        <sz val="10"/>
        <rFont val="Arial"/>
        <family val="2"/>
      </rPr>
      <t xml:space="preserve"> 5.000,00        m²</t>
    </r>
  </si>
  <si>
    <r>
      <t>m</t>
    </r>
    <r>
      <rPr>
        <vertAlign val="superscript"/>
        <sz val="10"/>
        <rFont val="Arial"/>
        <family val="2"/>
      </rPr>
      <t>3</t>
    </r>
  </si>
  <si>
    <t>A 100% DO PROCTOR 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</si>
</sst>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0.000"/>
    <numFmt numFmtId="166" formatCode="#,##0.00\ &quot;m³&quot;"/>
    <numFmt numFmtId="167" formatCode="#,##0.00\ &quot;t*km&quot;"/>
    <numFmt numFmtId="168" formatCode="#,##0.00\ &quot;tkm&quot;"/>
    <numFmt numFmtId="169" formatCode="#,##0.00_ ;[Red]\-#,##0.00\ "/>
    <numFmt numFmtId="170" formatCode="#,##0.000"/>
  </numFmts>
  <fonts count="21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vertAlign val="superscript"/>
      <sz val="9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sz val="11"/>
      <color theme="1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sz val="10"/>
      <name val="Arial"/>
    </font>
    <font>
      <b/>
      <sz val="10"/>
      <name val="Arial"/>
      <family val="2"/>
    </font>
    <font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9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  <xf numFmtId="164" fontId="11" fillId="0" borderId="0" applyFont="0" applyFill="0" applyBorder="0" applyAlignment="0" applyProtection="0"/>
    <xf numFmtId="0" fontId="1" fillId="0" borderId="0"/>
  </cellStyleXfs>
  <cellXfs count="343">
    <xf numFmtId="0" fontId="0" fillId="0" borderId="0" xfId="0"/>
    <xf numFmtId="0" fontId="6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/>
    </xf>
    <xf numFmtId="4" fontId="7" fillId="0" borderId="7" xfId="0" applyNumberFormat="1" applyFont="1" applyFill="1" applyBorder="1" applyAlignment="1">
      <alignment horizontal="center" vertical="center"/>
    </xf>
    <xf numFmtId="4" fontId="1" fillId="0" borderId="7" xfId="1" applyNumberFormat="1" applyFont="1" applyFill="1" applyBorder="1" applyAlignment="1">
      <alignment horizontal="center" vertical="center"/>
    </xf>
    <xf numFmtId="164" fontId="1" fillId="0" borderId="0" xfId="1" applyFont="1" applyFill="1" applyBorder="1" applyAlignment="1">
      <alignment horizontal="center" vertical="center"/>
    </xf>
    <xf numFmtId="164" fontId="1" fillId="0" borderId="7" xfId="1" applyFont="1" applyFill="1" applyBorder="1" applyAlignment="1">
      <alignment horizontal="center" vertical="center"/>
    </xf>
    <xf numFmtId="164" fontId="1" fillId="0" borderId="7" xfId="1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center" vertical="center"/>
    </xf>
    <xf numFmtId="164" fontId="3" fillId="0" borderId="23" xfId="1" applyFont="1" applyFill="1" applyBorder="1" applyAlignment="1">
      <alignment horizontal="center" vertical="center"/>
    </xf>
    <xf numFmtId="4" fontId="3" fillId="0" borderId="23" xfId="0" applyNumberFormat="1" applyFont="1" applyFill="1" applyBorder="1" applyAlignment="1">
      <alignment horizontal="center" vertical="center"/>
    </xf>
    <xf numFmtId="4" fontId="2" fillId="0" borderId="23" xfId="0" applyNumberFormat="1" applyFont="1" applyFill="1" applyBorder="1" applyAlignment="1">
      <alignment horizontal="center" vertical="center"/>
    </xf>
    <xf numFmtId="4" fontId="3" fillId="0" borderId="23" xfId="1" applyNumberFormat="1" applyFont="1" applyFill="1" applyBorder="1" applyAlignment="1">
      <alignment horizontal="center" vertical="center"/>
    </xf>
    <xf numFmtId="164" fontId="3" fillId="0" borderId="26" xfId="1" applyFont="1" applyFill="1" applyBorder="1" applyAlignment="1">
      <alignment horizontal="center" vertical="center"/>
    </xf>
    <xf numFmtId="4" fontId="3" fillId="0" borderId="26" xfId="0" applyNumberFormat="1" applyFont="1" applyFill="1" applyBorder="1" applyAlignment="1">
      <alignment horizontal="center" vertical="center"/>
    </xf>
    <xf numFmtId="4" fontId="3" fillId="0" borderId="26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9" xfId="0" quotePrefix="1" applyFont="1" applyFill="1" applyBorder="1" applyAlignment="1">
      <alignment horizontal="center" vertical="center"/>
    </xf>
    <xf numFmtId="2" fontId="1" fillId="0" borderId="29" xfId="0" applyNumberFormat="1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4" fontId="1" fillId="0" borderId="28" xfId="0" applyNumberFormat="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2" fontId="1" fillId="0" borderId="35" xfId="0" applyNumberFormat="1" applyFont="1" applyFill="1" applyBorder="1" applyAlignment="1">
      <alignment horizontal="center" vertical="center"/>
    </xf>
    <xf numFmtId="4" fontId="1" fillId="0" borderId="36" xfId="0" applyNumberFormat="1" applyFont="1" applyFill="1" applyBorder="1" applyAlignment="1">
      <alignment horizontal="center" vertical="center"/>
    </xf>
    <xf numFmtId="164" fontId="3" fillId="0" borderId="33" xfId="1" applyFont="1" applyFill="1" applyBorder="1" applyAlignment="1">
      <alignment horizontal="center" vertical="center"/>
    </xf>
    <xf numFmtId="4" fontId="3" fillId="0" borderId="33" xfId="0" applyNumberFormat="1" applyFont="1" applyFill="1" applyBorder="1" applyAlignment="1">
      <alignment horizontal="center" vertical="center"/>
    </xf>
    <xf numFmtId="4" fontId="3" fillId="0" borderId="33" xfId="1" applyNumberFormat="1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20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65" fontId="1" fillId="0" borderId="0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horizontal="center" vertical="center"/>
    </xf>
    <xf numFmtId="164" fontId="1" fillId="0" borderId="20" xfId="1" applyFont="1" applyFill="1" applyBorder="1" applyAlignment="1">
      <alignment horizontal="center" vertical="center"/>
    </xf>
    <xf numFmtId="167" fontId="1" fillId="0" borderId="0" xfId="1" applyNumberFormat="1" applyFont="1" applyFill="1" applyBorder="1" applyAlignment="1">
      <alignment horizontal="right" vertical="center"/>
    </xf>
    <xf numFmtId="4" fontId="3" fillId="0" borderId="24" xfId="0" applyNumberFormat="1" applyFont="1" applyFill="1" applyBorder="1" applyAlignment="1">
      <alignment vertical="center"/>
    </xf>
    <xf numFmtId="4" fontId="3" fillId="0" borderId="25" xfId="0" applyNumberFormat="1" applyFont="1" applyFill="1" applyBorder="1" applyAlignment="1">
      <alignment vertical="center"/>
    </xf>
    <xf numFmtId="0" fontId="7" fillId="0" borderId="1" xfId="3" applyFont="1" applyFill="1" applyBorder="1" applyAlignment="1">
      <alignment horizontal="left" vertical="center"/>
    </xf>
    <xf numFmtId="0" fontId="7" fillId="0" borderId="2" xfId="3" applyFont="1" applyFill="1" applyBorder="1" applyAlignment="1">
      <alignment horizontal="left" vertical="center"/>
    </xf>
    <xf numFmtId="1" fontId="1" fillId="0" borderId="2" xfId="3" applyNumberFormat="1" applyFont="1" applyFill="1" applyBorder="1" applyAlignment="1">
      <alignment horizontal="center" vertical="center"/>
    </xf>
    <xf numFmtId="4" fontId="1" fillId="0" borderId="2" xfId="3" applyNumberFormat="1" applyFont="1" applyFill="1" applyBorder="1" applyAlignment="1">
      <alignment horizontal="center" vertical="center"/>
    </xf>
    <xf numFmtId="0" fontId="1" fillId="0" borderId="2" xfId="3" applyFont="1" applyFill="1" applyBorder="1" applyAlignment="1">
      <alignment horizontal="center" vertical="center"/>
    </xf>
    <xf numFmtId="4" fontId="1" fillId="0" borderId="5" xfId="3" applyNumberFormat="1" applyFont="1" applyFill="1" applyBorder="1" applyAlignment="1">
      <alignment horizontal="center" vertical="center"/>
    </xf>
    <xf numFmtId="0" fontId="1" fillId="0" borderId="0" xfId="3" applyFont="1" applyFill="1" applyAlignment="1">
      <alignment horizontal="left" vertical="center"/>
    </xf>
    <xf numFmtId="0" fontId="1" fillId="0" borderId="0" xfId="3" applyFont="1" applyFill="1" applyAlignment="1">
      <alignment horizontal="center" vertical="center"/>
    </xf>
    <xf numFmtId="0" fontId="1" fillId="0" borderId="3" xfId="3" applyFont="1" applyFill="1" applyBorder="1" applyAlignment="1">
      <alignment horizontal="center" vertical="center"/>
    </xf>
    <xf numFmtId="0" fontId="1" fillId="0" borderId="0" xfId="3" applyFont="1" applyFill="1" applyBorder="1" applyAlignment="1">
      <alignment horizontal="center" vertical="center"/>
    </xf>
    <xf numFmtId="1" fontId="1" fillId="0" borderId="0" xfId="3" applyNumberFormat="1" applyFont="1" applyFill="1" applyBorder="1" applyAlignment="1">
      <alignment horizontal="center" vertical="center"/>
    </xf>
    <xf numFmtId="4" fontId="1" fillId="0" borderId="0" xfId="3" applyNumberFormat="1" applyFont="1" applyFill="1" applyBorder="1" applyAlignment="1">
      <alignment horizontal="center" vertical="center"/>
    </xf>
    <xf numFmtId="4" fontId="1" fillId="0" borderId="6" xfId="3" applyNumberFormat="1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left" vertical="center"/>
    </xf>
    <xf numFmtId="1" fontId="7" fillId="0" borderId="0" xfId="3" applyNumberFormat="1" applyFont="1" applyFill="1" applyBorder="1" applyAlignment="1">
      <alignment horizontal="left" vertical="center"/>
    </xf>
    <xf numFmtId="4" fontId="1" fillId="0" borderId="0" xfId="3" applyNumberFormat="1" applyFont="1" applyFill="1" applyBorder="1" applyAlignment="1">
      <alignment horizontal="right" vertical="center"/>
    </xf>
    <xf numFmtId="9" fontId="1" fillId="0" borderId="6" xfId="4" applyFont="1" applyFill="1" applyBorder="1" applyAlignment="1">
      <alignment horizontal="center" vertical="center"/>
    </xf>
    <xf numFmtId="9" fontId="1" fillId="0" borderId="6" xfId="4" applyFont="1" applyFill="1" applyBorder="1" applyAlignment="1">
      <alignment horizontal="right" vertical="center"/>
    </xf>
    <xf numFmtId="0" fontId="7" fillId="0" borderId="4" xfId="3" applyFont="1" applyFill="1" applyBorder="1" applyAlignment="1">
      <alignment horizontal="left" vertical="center"/>
    </xf>
    <xf numFmtId="1" fontId="7" fillId="0" borderId="7" xfId="3" applyNumberFormat="1" applyFont="1" applyFill="1" applyBorder="1" applyAlignment="1">
      <alignment horizontal="left" vertical="center"/>
    </xf>
    <xf numFmtId="0" fontId="1" fillId="0" borderId="7" xfId="3" applyFont="1" applyFill="1" applyBorder="1" applyAlignment="1">
      <alignment horizontal="center" vertical="center"/>
    </xf>
    <xf numFmtId="4" fontId="1" fillId="0" borderId="7" xfId="3" applyNumberFormat="1" applyFont="1" applyFill="1" applyBorder="1" applyAlignment="1">
      <alignment horizontal="center" vertical="center"/>
    </xf>
    <xf numFmtId="1" fontId="1" fillId="0" borderId="7" xfId="3" applyNumberFormat="1" applyFont="1" applyFill="1" applyBorder="1" applyAlignment="1">
      <alignment horizontal="center" vertical="center"/>
    </xf>
    <xf numFmtId="4" fontId="1" fillId="0" borderId="7" xfId="3" applyNumberFormat="1" applyFont="1" applyFill="1" applyBorder="1" applyAlignment="1">
      <alignment horizontal="right" vertical="center"/>
    </xf>
    <xf numFmtId="4" fontId="1" fillId="0" borderId="8" xfId="3" applyNumberFormat="1" applyFont="1" applyFill="1" applyBorder="1" applyAlignment="1">
      <alignment horizontal="center" vertical="center"/>
    </xf>
    <xf numFmtId="0" fontId="7" fillId="0" borderId="37" xfId="3" applyFont="1" applyFill="1" applyBorder="1" applyAlignment="1">
      <alignment horizontal="center" vertical="center" wrapText="1"/>
    </xf>
    <xf numFmtId="0" fontId="7" fillId="0" borderId="44" xfId="3" applyFont="1" applyFill="1" applyBorder="1" applyAlignment="1">
      <alignment horizontal="center" vertical="center"/>
    </xf>
    <xf numFmtId="0" fontId="7" fillId="0" borderId="45" xfId="3" applyFont="1" applyFill="1" applyBorder="1" applyAlignment="1">
      <alignment horizontal="center" vertical="center"/>
    </xf>
    <xf numFmtId="0" fontId="7" fillId="0" borderId="46" xfId="3" applyFont="1" applyFill="1" applyBorder="1" applyAlignment="1">
      <alignment horizontal="center" vertical="center"/>
    </xf>
    <xf numFmtId="4" fontId="7" fillId="0" borderId="38" xfId="3" applyNumberFormat="1" applyFont="1" applyFill="1" applyBorder="1" applyAlignment="1">
      <alignment horizontal="center" vertical="center"/>
    </xf>
    <xf numFmtId="4" fontId="7" fillId="0" borderId="39" xfId="3" applyNumberFormat="1" applyFont="1" applyFill="1" applyBorder="1" applyAlignment="1">
      <alignment horizontal="center" vertical="center"/>
    </xf>
    <xf numFmtId="4" fontId="1" fillId="0" borderId="0" xfId="3" applyNumberFormat="1" applyFont="1" applyFill="1" applyAlignment="1">
      <alignment horizontal="left" vertical="center" wrapText="1"/>
    </xf>
    <xf numFmtId="0" fontId="1" fillId="0" borderId="31" xfId="3" applyFont="1" applyFill="1" applyBorder="1" applyAlignment="1">
      <alignment horizontal="left" vertical="center"/>
    </xf>
    <xf numFmtId="1" fontId="1" fillId="0" borderId="11" xfId="3" applyNumberFormat="1" applyFont="1" applyFill="1" applyBorder="1" applyAlignment="1">
      <alignment horizontal="center" vertical="center"/>
    </xf>
    <xf numFmtId="0" fontId="1" fillId="0" borderId="20" xfId="3" applyFont="1" applyFill="1" applyBorder="1" applyAlignment="1">
      <alignment horizontal="center" vertical="center"/>
    </xf>
    <xf numFmtId="4" fontId="1" fillId="0" borderId="12" xfId="3" applyNumberFormat="1" applyFont="1" applyFill="1" applyBorder="1" applyAlignment="1">
      <alignment horizontal="center" vertical="center"/>
    </xf>
    <xf numFmtId="43" fontId="1" fillId="0" borderId="32" xfId="3" applyNumberFormat="1" applyFont="1" applyFill="1" applyBorder="1" applyAlignment="1">
      <alignment horizontal="center" vertical="center"/>
    </xf>
    <xf numFmtId="43" fontId="1" fillId="0" borderId="40" xfId="3" applyNumberFormat="1" applyFont="1" applyFill="1" applyBorder="1" applyAlignment="1">
      <alignment horizontal="left" vertical="center"/>
    </xf>
    <xf numFmtId="43" fontId="1" fillId="0" borderId="0" xfId="5" applyFont="1" applyFill="1" applyAlignment="1">
      <alignment horizontal="center" vertical="center"/>
    </xf>
    <xf numFmtId="43" fontId="1" fillId="0" borderId="0" xfId="3" applyNumberFormat="1" applyFont="1" applyFill="1" applyAlignment="1">
      <alignment horizontal="center" vertical="center"/>
    </xf>
    <xf numFmtId="0" fontId="1" fillId="0" borderId="41" xfId="3" applyFont="1" applyFill="1" applyBorder="1" applyAlignment="1">
      <alignment horizontal="center" vertical="center"/>
    </xf>
    <xf numFmtId="1" fontId="1" fillId="0" borderId="47" xfId="3" applyNumberFormat="1" applyFont="1" applyFill="1" applyBorder="1" applyAlignment="1">
      <alignment horizontal="center" vertical="center"/>
    </xf>
    <xf numFmtId="0" fontId="1" fillId="0" borderId="48" xfId="3" applyFont="1" applyFill="1" applyBorder="1" applyAlignment="1">
      <alignment horizontal="center" vertical="center"/>
    </xf>
    <xf numFmtId="4" fontId="1" fillId="0" borderId="49" xfId="3" applyNumberFormat="1" applyFont="1" applyFill="1" applyBorder="1" applyAlignment="1">
      <alignment horizontal="center" vertical="center"/>
    </xf>
    <xf numFmtId="4" fontId="1" fillId="0" borderId="42" xfId="3" applyNumberFormat="1" applyFont="1" applyFill="1" applyBorder="1" applyAlignment="1">
      <alignment horizontal="center" vertical="center"/>
    </xf>
    <xf numFmtId="4" fontId="1" fillId="0" borderId="43" xfId="3" applyNumberFormat="1" applyFont="1" applyFill="1" applyBorder="1" applyAlignment="1">
      <alignment horizontal="left" vertical="center"/>
    </xf>
    <xf numFmtId="169" fontId="1" fillId="0" borderId="0" xfId="3" applyNumberFormat="1" applyFont="1" applyFill="1" applyAlignment="1">
      <alignment horizontal="center" vertical="center"/>
    </xf>
    <xf numFmtId="4" fontId="7" fillId="0" borderId="51" xfId="3" applyNumberFormat="1" applyFont="1" applyFill="1" applyBorder="1" applyAlignment="1">
      <alignment horizontal="center" vertical="center"/>
    </xf>
    <xf numFmtId="4" fontId="7" fillId="0" borderId="52" xfId="3" applyNumberFormat="1" applyFont="1" applyFill="1" applyBorder="1" applyAlignment="1">
      <alignment horizontal="left" vertical="center"/>
    </xf>
    <xf numFmtId="1" fontId="1" fillId="0" borderId="0" xfId="3" applyNumberFormat="1" applyFont="1" applyFill="1" applyAlignment="1">
      <alignment horizontal="center" vertical="center"/>
    </xf>
    <xf numFmtId="0" fontId="7" fillId="0" borderId="0" xfId="3" applyFont="1" applyFill="1" applyAlignment="1">
      <alignment horizontal="right" vertical="center"/>
    </xf>
    <xf numFmtId="4" fontId="1" fillId="0" borderId="0" xfId="3" applyNumberFormat="1" applyFont="1" applyFill="1" applyAlignment="1">
      <alignment horizontal="center" vertical="center"/>
    </xf>
    <xf numFmtId="1" fontId="10" fillId="0" borderId="0" xfId="3" applyNumberFormat="1" applyFont="1" applyFill="1" applyAlignment="1">
      <alignment horizontal="left" vertical="center"/>
    </xf>
    <xf numFmtId="4" fontId="1" fillId="0" borderId="0" xfId="3" applyNumberFormat="1" applyFont="1" applyFill="1" applyAlignment="1">
      <alignment horizontal="right" vertical="center"/>
    </xf>
    <xf numFmtId="4" fontId="1" fillId="0" borderId="0" xfId="3" applyNumberFormat="1" applyFont="1" applyFill="1" applyAlignment="1">
      <alignment horizontal="left" vertical="center"/>
    </xf>
    <xf numFmtId="4" fontId="1" fillId="0" borderId="0" xfId="3" applyNumberFormat="1" applyFont="1" applyFill="1" applyAlignment="1">
      <alignment horizontal="center" vertical="center" shrinkToFit="1"/>
    </xf>
    <xf numFmtId="4" fontId="1" fillId="0" borderId="0" xfId="3" applyNumberFormat="1" applyFont="1" applyFill="1" applyAlignment="1">
      <alignment horizontal="left" vertical="center" shrinkToFit="1"/>
    </xf>
    <xf numFmtId="0" fontId="1" fillId="0" borderId="0" xfId="3" applyFont="1" applyFill="1" applyAlignment="1">
      <alignment horizontal="left" vertical="center" shrinkToFit="1"/>
    </xf>
    <xf numFmtId="0" fontId="1" fillId="0" borderId="0" xfId="3" applyFont="1" applyFill="1" applyAlignment="1">
      <alignment horizontal="center" vertical="center" shrinkToFit="1"/>
    </xf>
    <xf numFmtId="1" fontId="7" fillId="0" borderId="0" xfId="3" applyNumberFormat="1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4" fontId="7" fillId="0" borderId="0" xfId="3" applyNumberFormat="1" applyFont="1" applyFill="1" applyAlignment="1">
      <alignment horizontal="center" vertical="center"/>
    </xf>
    <xf numFmtId="4" fontId="7" fillId="0" borderId="0" xfId="3" applyNumberFormat="1" applyFont="1" applyFill="1" applyAlignment="1">
      <alignment horizontal="left" vertical="center"/>
    </xf>
    <xf numFmtId="0" fontId="7" fillId="0" borderId="0" xfId="3" applyFont="1" applyFill="1" applyAlignment="1">
      <alignment horizontal="left" vertical="center"/>
    </xf>
    <xf numFmtId="4" fontId="7" fillId="0" borderId="0" xfId="3" applyNumberFormat="1" applyFont="1" applyFill="1" applyAlignment="1">
      <alignment horizontal="center" vertical="center" shrinkToFit="1"/>
    </xf>
    <xf numFmtId="0" fontId="7" fillId="0" borderId="42" xfId="3" applyFont="1" applyFill="1" applyBorder="1" applyAlignment="1">
      <alignment horizontal="center" vertical="center" wrapText="1"/>
    </xf>
    <xf numFmtId="4" fontId="2" fillId="0" borderId="32" xfId="0" applyNumberFormat="1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left" vertical="center"/>
    </xf>
    <xf numFmtId="0" fontId="3" fillId="0" borderId="26" xfId="0" applyFont="1" applyFill="1" applyBorder="1" applyAlignment="1">
      <alignment horizontal="left" vertical="center"/>
    </xf>
    <xf numFmtId="164" fontId="1" fillId="0" borderId="0" xfId="1" applyFont="1" applyFill="1" applyAlignment="1">
      <alignment horizontal="left" vertical="center"/>
    </xf>
    <xf numFmtId="164" fontId="3" fillId="0" borderId="26" xfId="1" applyFont="1" applyFill="1" applyBorder="1" applyAlignment="1">
      <alignment horizontal="right" vertical="center"/>
    </xf>
    <xf numFmtId="164" fontId="3" fillId="0" borderId="33" xfId="1" applyFont="1" applyFill="1" applyBorder="1" applyAlignment="1">
      <alignment horizontal="right" vertical="center"/>
    </xf>
    <xf numFmtId="164" fontId="3" fillId="0" borderId="27" xfId="1" applyFont="1" applyFill="1" applyBorder="1" applyAlignment="1">
      <alignment horizontal="right" vertical="center"/>
    </xf>
    <xf numFmtId="164" fontId="3" fillId="0" borderId="28" xfId="1" applyFont="1" applyFill="1" applyBorder="1" applyAlignment="1">
      <alignment horizontal="right" vertical="center"/>
    </xf>
    <xf numFmtId="164" fontId="2" fillId="0" borderId="33" xfId="1" applyFont="1" applyFill="1" applyBorder="1" applyAlignment="1">
      <alignment horizontal="right" vertical="center"/>
    </xf>
    <xf numFmtId="164" fontId="3" fillId="0" borderId="34" xfId="1" applyFont="1" applyFill="1" applyBorder="1" applyAlignment="1">
      <alignment horizontal="right" vertical="center"/>
    </xf>
    <xf numFmtId="164" fontId="3" fillId="0" borderId="36" xfId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/>
    <xf numFmtId="43" fontId="1" fillId="0" borderId="0" xfId="5" applyFont="1" applyFill="1" applyAlignment="1">
      <alignment horizontal="left" vertical="center"/>
    </xf>
    <xf numFmtId="0" fontId="7" fillId="0" borderId="0" xfId="3" applyFont="1" applyFill="1" applyAlignment="1">
      <alignment horizontal="centerContinuous" vertical="center"/>
    </xf>
    <xf numFmtId="2" fontId="1" fillId="0" borderId="11" xfId="3" applyNumberFormat="1" applyFont="1" applyFill="1" applyBorder="1" applyAlignment="1">
      <alignment horizontal="center" vertical="center"/>
    </xf>
    <xf numFmtId="0" fontId="7" fillId="0" borderId="47" xfId="3" applyFont="1" applyFill="1" applyBorder="1" applyAlignment="1">
      <alignment horizontal="center" vertical="center" wrapText="1"/>
    </xf>
    <xf numFmtId="0" fontId="7" fillId="0" borderId="49" xfId="3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/>
    </xf>
    <xf numFmtId="4" fontId="7" fillId="0" borderId="42" xfId="3" applyNumberFormat="1" applyFont="1" applyFill="1" applyBorder="1" applyAlignment="1">
      <alignment horizontal="center" vertical="center" wrapText="1"/>
    </xf>
    <xf numFmtId="43" fontId="1" fillId="0" borderId="40" xfId="3" applyNumberFormat="1" applyFont="1" applyFill="1" applyBorder="1" applyAlignment="1">
      <alignment vertical="center"/>
    </xf>
    <xf numFmtId="1" fontId="1" fillId="0" borderId="11" xfId="3" applyNumberFormat="1" applyFont="1" applyFill="1" applyBorder="1" applyAlignment="1">
      <alignment horizontal="left" vertical="center"/>
    </xf>
    <xf numFmtId="0" fontId="1" fillId="0" borderId="20" xfId="3" applyFont="1" applyFill="1" applyBorder="1" applyAlignment="1">
      <alignment horizontal="left" vertical="center"/>
    </xf>
    <xf numFmtId="4" fontId="1" fillId="0" borderId="12" xfId="3" applyNumberFormat="1" applyFont="1" applyFill="1" applyBorder="1" applyAlignment="1">
      <alignment horizontal="left" vertical="center"/>
    </xf>
    <xf numFmtId="4" fontId="3" fillId="0" borderId="26" xfId="1" applyNumberFormat="1" applyFont="1" applyFill="1" applyBorder="1" applyAlignment="1">
      <alignment horizontal="left" vertical="center"/>
    </xf>
    <xf numFmtId="1" fontId="1" fillId="0" borderId="29" xfId="0" applyNumberFormat="1" applyFont="1" applyFill="1" applyBorder="1" applyAlignment="1">
      <alignment horizontal="center" vertical="center"/>
    </xf>
    <xf numFmtId="1" fontId="1" fillId="0" borderId="29" xfId="0" applyNumberFormat="1" applyFont="1" applyFill="1" applyBorder="1" applyAlignment="1">
      <alignment horizontal="left" vertical="center"/>
    </xf>
    <xf numFmtId="164" fontId="1" fillId="0" borderId="0" xfId="1" applyFont="1" applyFill="1" applyAlignment="1">
      <alignment horizontal="right" vertical="center"/>
    </xf>
    <xf numFmtId="164" fontId="1" fillId="0" borderId="0" xfId="1" applyFont="1" applyFill="1" applyAlignment="1">
      <alignment horizontal="center" vertical="center"/>
    </xf>
    <xf numFmtId="164" fontId="2" fillId="0" borderId="32" xfId="1" applyFont="1" applyFill="1" applyBorder="1" applyAlignment="1">
      <alignment horizontal="right" vertical="center"/>
    </xf>
    <xf numFmtId="0" fontId="1" fillId="0" borderId="29" xfId="0" quotePrefix="1" applyFont="1" applyFill="1" applyBorder="1" applyAlignment="1">
      <alignment horizontal="left" vertical="center"/>
    </xf>
    <xf numFmtId="164" fontId="3" fillId="0" borderId="26" xfId="1" applyNumberFormat="1" applyFont="1" applyFill="1" applyBorder="1" applyAlignment="1">
      <alignment horizontal="right" vertical="center"/>
    </xf>
    <xf numFmtId="166" fontId="1" fillId="0" borderId="11" xfId="1" applyNumberFormat="1" applyFont="1" applyFill="1" applyBorder="1" applyAlignment="1">
      <alignment horizontal="right" vertical="center"/>
    </xf>
    <xf numFmtId="166" fontId="1" fillId="0" borderId="12" xfId="1" applyNumberFormat="1" applyFont="1" applyFill="1" applyBorder="1" applyAlignment="1">
      <alignment horizontal="right" vertical="center"/>
    </xf>
    <xf numFmtId="168" fontId="1" fillId="0" borderId="11" xfId="1" applyNumberFormat="1" applyFont="1" applyFill="1" applyBorder="1" applyAlignment="1">
      <alignment horizontal="right" vertical="center"/>
    </xf>
    <xf numFmtId="168" fontId="1" fillId="0" borderId="12" xfId="1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2" fillId="0" borderId="32" xfId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>
      <alignment horizontal="center" vertical="center"/>
    </xf>
    <xf numFmtId="3" fontId="2" fillId="0" borderId="1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 wrapText="1"/>
    </xf>
    <xf numFmtId="0" fontId="7" fillId="0" borderId="53" xfId="3" applyFont="1" applyFill="1" applyBorder="1" applyAlignment="1">
      <alignment horizontal="center" vertical="center" wrapText="1"/>
    </xf>
    <xf numFmtId="0" fontId="7" fillId="0" borderId="45" xfId="3" applyFont="1" applyFill="1" applyBorder="1" applyAlignment="1">
      <alignment horizontal="center" vertical="center" wrapText="1"/>
    </xf>
    <xf numFmtId="0" fontId="7" fillId="0" borderId="54" xfId="3" applyFont="1" applyFill="1" applyBorder="1" applyAlignment="1">
      <alignment horizontal="center" vertical="center" wrapText="1"/>
    </xf>
    <xf numFmtId="4" fontId="1" fillId="0" borderId="0" xfId="3" applyNumberFormat="1" applyFont="1" applyFill="1" applyAlignment="1">
      <alignment horizontal="left" vertical="center" wrapText="1"/>
    </xf>
    <xf numFmtId="0" fontId="7" fillId="0" borderId="50" xfId="3" applyFont="1" applyFill="1" applyBorder="1" applyAlignment="1">
      <alignment horizontal="right" vertical="center"/>
    </xf>
    <xf numFmtId="0" fontId="7" fillId="0" borderId="51" xfId="3" applyFont="1" applyFill="1" applyBorder="1" applyAlignment="1">
      <alignment horizontal="right" vertical="center"/>
    </xf>
    <xf numFmtId="0" fontId="7" fillId="0" borderId="13" xfId="3" applyFont="1" applyFill="1" applyBorder="1" applyAlignment="1">
      <alignment horizontal="center" vertical="center" wrapText="1"/>
    </xf>
    <xf numFmtId="0" fontId="7" fillId="0" borderId="10" xfId="3" applyFont="1" applyFill="1" applyBorder="1" applyAlignment="1">
      <alignment horizontal="center" vertical="center" wrapText="1"/>
    </xf>
    <xf numFmtId="0" fontId="7" fillId="0" borderId="14" xfId="3" applyFont="1" applyFill="1" applyBorder="1" applyAlignment="1">
      <alignment horizontal="center" vertical="center" wrapText="1"/>
    </xf>
    <xf numFmtId="0" fontId="7" fillId="0" borderId="17" xfId="3" applyFont="1" applyFill="1" applyBorder="1" applyAlignment="1">
      <alignment horizontal="center" vertical="center" wrapText="1"/>
    </xf>
    <xf numFmtId="0" fontId="7" fillId="0" borderId="18" xfId="3" applyFont="1" applyFill="1" applyBorder="1" applyAlignment="1">
      <alignment horizontal="center" vertical="center" wrapText="1"/>
    </xf>
    <xf numFmtId="0" fontId="7" fillId="0" borderId="19" xfId="3" applyFont="1" applyFill="1" applyBorder="1" applyAlignment="1">
      <alignment horizontal="center" vertical="center" wrapText="1"/>
    </xf>
    <xf numFmtId="0" fontId="7" fillId="0" borderId="31" xfId="3" applyFont="1" applyFill="1" applyBorder="1" applyAlignment="1">
      <alignment horizontal="center" vertical="center" wrapText="1"/>
    </xf>
    <xf numFmtId="0" fontId="7" fillId="0" borderId="41" xfId="3" applyFont="1" applyFill="1" applyBorder="1" applyAlignment="1">
      <alignment horizontal="center" vertical="center" wrapText="1"/>
    </xf>
    <xf numFmtId="0" fontId="7" fillId="0" borderId="32" xfId="3" applyFont="1" applyFill="1" applyBorder="1" applyAlignment="1">
      <alignment horizontal="center" vertical="center" wrapText="1"/>
    </xf>
    <xf numFmtId="0" fontId="7" fillId="0" borderId="42" xfId="3" applyFont="1" applyFill="1" applyBorder="1" applyAlignment="1">
      <alignment horizontal="center" vertical="center" wrapText="1"/>
    </xf>
    <xf numFmtId="0" fontId="7" fillId="0" borderId="40" xfId="3" applyFont="1" applyFill="1" applyBorder="1" applyAlignment="1">
      <alignment horizontal="center" vertical="center" wrapText="1"/>
    </xf>
    <xf numFmtId="0" fontId="7" fillId="0" borderId="43" xfId="3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4" fontId="13" fillId="0" borderId="0" xfId="0" applyNumberFormat="1" applyFont="1" applyAlignment="1">
      <alignment horizontal="center" vertical="center"/>
    </xf>
    <xf numFmtId="0" fontId="13" fillId="0" borderId="3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 applyAlignment="1">
      <alignment vertical="center"/>
    </xf>
    <xf numFmtId="4" fontId="13" fillId="0" borderId="0" xfId="0" applyNumberFormat="1" applyFont="1" applyFill="1" applyBorder="1" applyAlignment="1">
      <alignment horizontal="left" vertical="center"/>
    </xf>
    <xf numFmtId="4" fontId="13" fillId="0" borderId="0" xfId="0" applyNumberFormat="1" applyFont="1" applyFill="1" applyBorder="1" applyAlignment="1">
      <alignment horizontal="right" vertical="center"/>
    </xf>
    <xf numFmtId="49" fontId="13" fillId="0" borderId="0" xfId="0" applyNumberFormat="1" applyFont="1" applyFill="1" applyBorder="1" applyAlignment="1">
      <alignment horizontal="left" vertical="center"/>
    </xf>
    <xf numFmtId="164" fontId="13" fillId="0" borderId="0" xfId="7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right" vertical="center"/>
    </xf>
    <xf numFmtId="4" fontId="14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right" vertical="center"/>
    </xf>
    <xf numFmtId="49" fontId="16" fillId="0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left" vertical="center"/>
    </xf>
    <xf numFmtId="49" fontId="16" fillId="0" borderId="0" xfId="0" applyNumberFormat="1" applyFont="1" applyFill="1" applyBorder="1" applyAlignment="1">
      <alignment horizontal="right" vertical="center"/>
    </xf>
    <xf numFmtId="4" fontId="16" fillId="0" borderId="0" xfId="0" applyNumberFormat="1" applyFont="1" applyFill="1" applyBorder="1" applyAlignment="1">
      <alignment horizontal="right" vertical="center"/>
    </xf>
    <xf numFmtId="164" fontId="13" fillId="0" borderId="0" xfId="7" applyFont="1" applyAlignment="1">
      <alignment vertical="center"/>
    </xf>
    <xf numFmtId="164" fontId="13" fillId="0" borderId="0" xfId="0" applyNumberFormat="1" applyFont="1" applyAlignment="1">
      <alignment vertical="center"/>
    </xf>
    <xf numFmtId="4" fontId="14" fillId="0" borderId="0" xfId="0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164" fontId="13" fillId="0" borderId="0" xfId="7" applyFont="1" applyBorder="1" applyAlignment="1">
      <alignment vertical="center"/>
    </xf>
    <xf numFmtId="3" fontId="14" fillId="0" borderId="0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Border="1" applyAlignment="1">
      <alignment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4" fontId="13" fillId="0" borderId="32" xfId="0" applyNumberFormat="1" applyFont="1" applyFill="1" applyBorder="1" applyAlignment="1">
      <alignment horizontal="center" vertical="center"/>
    </xf>
    <xf numFmtId="4" fontId="13" fillId="0" borderId="32" xfId="0" applyNumberFormat="1" applyFont="1" applyFill="1" applyBorder="1" applyAlignment="1">
      <alignment horizontal="center" vertical="center" wrapText="1"/>
    </xf>
    <xf numFmtId="170" fontId="13" fillId="0" borderId="32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49" fontId="13" fillId="0" borderId="0" xfId="0" applyNumberFormat="1" applyFont="1" applyFill="1" applyBorder="1" applyAlignment="1">
      <alignment vertical="center"/>
    </xf>
    <xf numFmtId="4" fontId="17" fillId="0" borderId="0" xfId="0" applyNumberFormat="1" applyFont="1" applyFill="1" applyBorder="1" applyAlignment="1">
      <alignment horizontal="right" vertical="center"/>
    </xf>
    <xf numFmtId="4" fontId="13" fillId="0" borderId="0" xfId="0" applyNumberFormat="1" applyFont="1" applyFill="1" applyAlignment="1">
      <alignment vertical="center"/>
    </xf>
    <xf numFmtId="4" fontId="14" fillId="0" borderId="32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vertical="center"/>
    </xf>
    <xf numFmtId="49" fontId="14" fillId="0" borderId="0" xfId="0" applyNumberFormat="1" applyFont="1" applyFill="1" applyBorder="1" applyAlignment="1">
      <alignment horizontal="left" vertical="center"/>
    </xf>
    <xf numFmtId="4" fontId="16" fillId="0" borderId="0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49" fontId="17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Alignment="1">
      <alignment vertical="center"/>
    </xf>
    <xf numFmtId="0" fontId="14" fillId="0" borderId="0" xfId="0" applyFont="1" applyBorder="1" applyAlignment="1">
      <alignment horizontal="left" vertical="center"/>
    </xf>
    <xf numFmtId="4" fontId="13" fillId="0" borderId="0" xfId="0" applyNumberFormat="1" applyFont="1" applyBorder="1" applyAlignment="1">
      <alignment vertical="center"/>
    </xf>
    <xf numFmtId="170" fontId="13" fillId="0" borderId="3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49" fontId="16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" fontId="16" fillId="0" borderId="0" xfId="0" applyNumberFormat="1" applyFont="1" applyBorder="1" applyAlignment="1">
      <alignment horizontal="right" vertical="center"/>
    </xf>
    <xf numFmtId="49" fontId="16" fillId="0" borderId="0" xfId="0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/>
    <xf numFmtId="0" fontId="18" fillId="0" borderId="0" xfId="0" applyFont="1" applyFill="1" applyBorder="1"/>
    <xf numFmtId="0" fontId="13" fillId="0" borderId="0" xfId="0" applyFont="1" applyAlignment="1">
      <alignment horizontal="right" vertical="center"/>
    </xf>
    <xf numFmtId="0" fontId="14" fillId="0" borderId="0" xfId="0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4" fontId="16" fillId="0" borderId="0" xfId="0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4" fillId="0" borderId="0" xfId="8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3" fillId="0" borderId="0" xfId="8" applyFont="1" applyFill="1" applyBorder="1" applyAlignment="1">
      <alignment vertical="center"/>
    </xf>
    <xf numFmtId="0" fontId="15" fillId="0" borderId="0" xfId="0" applyFont="1" applyAlignment="1">
      <alignment horizontal="right" vertical="center"/>
    </xf>
    <xf numFmtId="0" fontId="14" fillId="0" borderId="6" xfId="0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horizontal="center" vertical="center"/>
    </xf>
    <xf numFmtId="3" fontId="14" fillId="0" borderId="0" xfId="0" applyNumberFormat="1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4" fontId="13" fillId="0" borderId="0" xfId="7" applyNumberFormat="1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7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0" fontId="14" fillId="0" borderId="8" xfId="0" applyFont="1" applyFill="1" applyBorder="1" applyAlignment="1">
      <alignment vertical="center"/>
    </xf>
  </cellXfs>
  <cellStyles count="9">
    <cellStyle name="Normal" xfId="0" builtinId="0"/>
    <cellStyle name="Normal 10" xfId="2" xr:uid="{00000000-0005-0000-0000-000001000000}"/>
    <cellStyle name="Normal 2" xfId="3" xr:uid="{00000000-0005-0000-0000-000002000000}"/>
    <cellStyle name="Normal 2 2" xfId="8" xr:uid="{00000000-0005-0000-0000-000003000000}"/>
    <cellStyle name="Normal 4" xfId="6" xr:uid="{00000000-0005-0000-0000-000004000000}"/>
    <cellStyle name="Porcentagem 2" xfId="4" xr:uid="{00000000-0005-0000-0000-000005000000}"/>
    <cellStyle name="Vírgula" xfId="1" builtinId="3"/>
    <cellStyle name="Vírgula 2" xfId="5" xr:uid="{00000000-0005-0000-0000-000007000000}"/>
    <cellStyle name="Vírgula 3" xfId="7" xr:uid="{00000000-0005-0000-0000-000008000000}"/>
  </cellStyles>
  <dxfs count="111"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523875</xdr:colOff>
      <xdr:row>47</xdr:row>
      <xdr:rowOff>28575</xdr:rowOff>
    </xdr:from>
    <xdr:to>
      <xdr:col>21</xdr:col>
      <xdr:colOff>0</xdr:colOff>
      <xdr:row>53</xdr:row>
      <xdr:rowOff>0</xdr:rowOff>
    </xdr:to>
    <xdr:grpSp>
      <xdr:nvGrpSpPr>
        <xdr:cNvPr id="2" name="Grupo 242">
          <a:extLst>
            <a:ext uri="{FF2B5EF4-FFF2-40B4-BE49-F238E27FC236}">
              <a16:creationId xmlns:a16="http://schemas.microsoft.com/office/drawing/2014/main" id="{6673E8A9-C9FA-474B-BD90-7DE9AC644860}"/>
            </a:ext>
          </a:extLst>
        </xdr:cNvPr>
        <xdr:cNvGrpSpPr>
          <a:grpSpLocks/>
        </xdr:cNvGrpSpPr>
      </xdr:nvGrpSpPr>
      <xdr:grpSpPr bwMode="auto">
        <a:xfrm>
          <a:off x="7673228" y="8141634"/>
          <a:ext cx="5628154" cy="1024778"/>
          <a:chOff x="6997390" y="10057192"/>
          <a:chExt cx="5317504" cy="1018922"/>
        </a:xfrm>
      </xdr:grpSpPr>
      <xdr:grpSp>
        <xdr:nvGrpSpPr>
          <xdr:cNvPr id="3" name="Grupo 1">
            <a:extLst>
              <a:ext uri="{FF2B5EF4-FFF2-40B4-BE49-F238E27FC236}">
                <a16:creationId xmlns:a16="http://schemas.microsoft.com/office/drawing/2014/main" id="{D13A40C9-6D80-4260-BC74-8CDEF842D123}"/>
              </a:ext>
            </a:extLst>
          </xdr:cNvPr>
          <xdr:cNvGrpSpPr>
            <a:grpSpLocks/>
          </xdr:cNvGrpSpPr>
        </xdr:nvGrpSpPr>
        <xdr:grpSpPr bwMode="auto">
          <a:xfrm>
            <a:off x="6997390" y="10057192"/>
            <a:ext cx="5317504" cy="1018922"/>
            <a:chOff x="7877175" y="18680292"/>
            <a:chExt cx="5314951" cy="1051215"/>
          </a:xfrm>
        </xdr:grpSpPr>
        <xdr:sp macro="" textlink="">
          <xdr:nvSpPr>
            <xdr:cNvPr id="5" name="Text Box 33">
              <a:extLst>
                <a:ext uri="{FF2B5EF4-FFF2-40B4-BE49-F238E27FC236}">
                  <a16:creationId xmlns:a16="http://schemas.microsoft.com/office/drawing/2014/main" id="{D10F51A3-C014-4CFE-AF93-E06133BE857B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2001652" y="18906254"/>
              <a:ext cx="1190474" cy="599291"/>
            </a:xfrm>
            <a:prstGeom prst="rect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pt-BR" sz="900" b="0">
                  <a:latin typeface="Arial" panose="020B0604020202020204" pitchFamily="34" charset="0"/>
                  <a:cs typeface="Arial" panose="020B0604020202020204" pitchFamily="34" charset="0"/>
                </a:rPr>
                <a:t>ATP</a:t>
              </a:r>
            </a:p>
          </xdr:txBody>
        </xdr:sp>
        <xdr:sp macro="" textlink="">
          <xdr:nvSpPr>
            <xdr:cNvPr id="6" name="Text Box 38">
              <a:extLst>
                <a:ext uri="{FF2B5EF4-FFF2-40B4-BE49-F238E27FC236}">
                  <a16:creationId xmlns:a16="http://schemas.microsoft.com/office/drawing/2014/main" id="{E932C3DB-A5D7-4E5B-9A4D-21E6556CE66A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7877175" y="18906254"/>
              <a:ext cx="4124477" cy="599291"/>
            </a:xfrm>
            <a:prstGeom prst="rect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spcAft>
                  <a:spcPts val="100"/>
                </a:spcAft>
                <a:defRPr sz="1000"/>
              </a:pPr>
              <a:endParaRPr lang="pt-BR" b="0"/>
            </a:p>
          </xdr:txBody>
        </xdr:sp>
        <xdr:sp macro="" textlink="">
          <xdr:nvSpPr>
            <xdr:cNvPr id="7" name="Text Box 39">
              <a:extLst>
                <a:ext uri="{FF2B5EF4-FFF2-40B4-BE49-F238E27FC236}">
                  <a16:creationId xmlns:a16="http://schemas.microsoft.com/office/drawing/2014/main" id="{F9C33D50-5C66-483A-AC69-754CC0644C06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7877175" y="19505545"/>
              <a:ext cx="4124477" cy="225962"/>
            </a:xfrm>
            <a:prstGeom prst="rect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/>
              <a:r>
                <a:rPr lang="pt-BR" sz="900" b="0" i="0" baseline="0">
                  <a:effectLst/>
                  <a:latin typeface="Arial" pitchFamily="34" charset="0"/>
                  <a:ea typeface="+mn-ea"/>
                  <a:cs typeface="Arial" pitchFamily="34" charset="0"/>
                </a:rPr>
                <a:t>RESUMO DE TERRAPLENAGEM</a:t>
              </a:r>
            </a:p>
          </xdr:txBody>
        </xdr:sp>
        <xdr:sp macro="" textlink="">
          <xdr:nvSpPr>
            <xdr:cNvPr id="8" name="Text Box 36">
              <a:extLst>
                <a:ext uri="{FF2B5EF4-FFF2-40B4-BE49-F238E27FC236}">
                  <a16:creationId xmlns:a16="http://schemas.microsoft.com/office/drawing/2014/main" id="{7DD95F20-7465-45C3-BC72-DE42BA7B9F73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7877175" y="18680292"/>
              <a:ext cx="5314951" cy="225962"/>
            </a:xfrm>
            <a:prstGeom prst="rect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/>
              <a:endParaRPr lang="pt-BR" sz="900">
                <a:effectLst/>
              </a:endParaRPr>
            </a:p>
          </xdr:txBody>
        </xdr:sp>
      </xdr:grpSp>
      <xdr:sp macro="" textlink="">
        <xdr:nvSpPr>
          <xdr:cNvPr id="4" name="Text Box 40">
            <a:extLst>
              <a:ext uri="{FF2B5EF4-FFF2-40B4-BE49-F238E27FC236}">
                <a16:creationId xmlns:a16="http://schemas.microsoft.com/office/drawing/2014/main" id="{66151F59-D313-4903-AC97-2454311BAD1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23848" y="10857093"/>
            <a:ext cx="1191046" cy="219021"/>
          </a:xfrm>
          <a:prstGeom prst="rect">
            <a:avLst/>
          </a:prstGeom>
          <a:solidFill>
            <a:sysClr val="window" lastClr="FFFFFF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pt-BR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DES.- </a:t>
            </a:r>
            <a:endParaRPr lang="pt-BR" b="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51</xdr:row>
      <xdr:rowOff>197909</xdr:rowOff>
    </xdr:from>
    <xdr:to>
      <xdr:col>14</xdr:col>
      <xdr:colOff>0</xdr:colOff>
      <xdr:row>51</xdr:row>
      <xdr:rowOff>197909</xdr:rowOff>
    </xdr:to>
    <xdr:sp macro="" textlink="">
      <xdr:nvSpPr>
        <xdr:cNvPr id="1727" name="Texto 13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 bwMode="auto">
        <a:xfrm>
          <a:off x="3952875" y="838200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51</xdr:row>
      <xdr:rowOff>197909</xdr:rowOff>
    </xdr:from>
    <xdr:to>
      <xdr:col>14</xdr:col>
      <xdr:colOff>0</xdr:colOff>
      <xdr:row>51</xdr:row>
      <xdr:rowOff>197909</xdr:rowOff>
    </xdr:to>
    <xdr:sp macro="" textlink="">
      <xdr:nvSpPr>
        <xdr:cNvPr id="1728" name="Texto 13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 bwMode="auto">
        <a:xfrm>
          <a:off x="3952875" y="838200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51</xdr:row>
      <xdr:rowOff>197909</xdr:rowOff>
    </xdr:from>
    <xdr:to>
      <xdr:col>14</xdr:col>
      <xdr:colOff>0</xdr:colOff>
      <xdr:row>51</xdr:row>
      <xdr:rowOff>197909</xdr:rowOff>
    </xdr:to>
    <xdr:sp macro="" textlink="">
      <xdr:nvSpPr>
        <xdr:cNvPr id="1729" name="Texto 13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 bwMode="auto">
        <a:xfrm>
          <a:off x="3952875" y="838200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51</xdr:row>
      <xdr:rowOff>197909</xdr:rowOff>
    </xdr:from>
    <xdr:to>
      <xdr:col>14</xdr:col>
      <xdr:colOff>0</xdr:colOff>
      <xdr:row>51</xdr:row>
      <xdr:rowOff>197909</xdr:rowOff>
    </xdr:to>
    <xdr:sp macro="" textlink="">
      <xdr:nvSpPr>
        <xdr:cNvPr id="1730" name="Texto 13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 bwMode="auto">
        <a:xfrm>
          <a:off x="3952875" y="838200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51</xdr:row>
      <xdr:rowOff>197909</xdr:rowOff>
    </xdr:from>
    <xdr:to>
      <xdr:col>14</xdr:col>
      <xdr:colOff>0</xdr:colOff>
      <xdr:row>51</xdr:row>
      <xdr:rowOff>197909</xdr:rowOff>
    </xdr:to>
    <xdr:sp macro="" textlink="">
      <xdr:nvSpPr>
        <xdr:cNvPr id="1731" name="Texto 13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 bwMode="auto">
        <a:xfrm>
          <a:off x="3952875" y="838200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51</xdr:row>
      <xdr:rowOff>197909</xdr:rowOff>
    </xdr:from>
    <xdr:to>
      <xdr:col>14</xdr:col>
      <xdr:colOff>0</xdr:colOff>
      <xdr:row>51</xdr:row>
      <xdr:rowOff>197909</xdr:rowOff>
    </xdr:to>
    <xdr:sp macro="" textlink="">
      <xdr:nvSpPr>
        <xdr:cNvPr id="1732" name="Texto 13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 bwMode="auto">
        <a:xfrm>
          <a:off x="3952875" y="838200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142</xdr:row>
      <xdr:rowOff>193675</xdr:rowOff>
    </xdr:from>
    <xdr:to>
      <xdr:col>14</xdr:col>
      <xdr:colOff>0</xdr:colOff>
      <xdr:row>142</xdr:row>
      <xdr:rowOff>193675</xdr:rowOff>
    </xdr:to>
    <xdr:sp macro="" textlink="">
      <xdr:nvSpPr>
        <xdr:cNvPr id="1735" name="Texto 13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 bwMode="auto">
        <a:xfrm>
          <a:off x="3952875" y="1014222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142</xdr:row>
      <xdr:rowOff>193675</xdr:rowOff>
    </xdr:from>
    <xdr:to>
      <xdr:col>14</xdr:col>
      <xdr:colOff>0</xdr:colOff>
      <xdr:row>142</xdr:row>
      <xdr:rowOff>193675</xdr:rowOff>
    </xdr:to>
    <xdr:sp macro="" textlink="">
      <xdr:nvSpPr>
        <xdr:cNvPr id="1736" name="Texto 13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 bwMode="auto">
        <a:xfrm>
          <a:off x="3952875" y="1014222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142</xdr:row>
      <xdr:rowOff>193675</xdr:rowOff>
    </xdr:from>
    <xdr:to>
      <xdr:col>14</xdr:col>
      <xdr:colOff>0</xdr:colOff>
      <xdr:row>142</xdr:row>
      <xdr:rowOff>193675</xdr:rowOff>
    </xdr:to>
    <xdr:sp macro="" textlink="">
      <xdr:nvSpPr>
        <xdr:cNvPr id="1737" name="Texto 13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 bwMode="auto">
        <a:xfrm>
          <a:off x="3952875" y="1014222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226</xdr:row>
      <xdr:rowOff>201878</xdr:rowOff>
    </xdr:from>
    <xdr:to>
      <xdr:col>14</xdr:col>
      <xdr:colOff>0</xdr:colOff>
      <xdr:row>226</xdr:row>
      <xdr:rowOff>201878</xdr:rowOff>
    </xdr:to>
    <xdr:sp macro="" textlink="">
      <xdr:nvSpPr>
        <xdr:cNvPr id="1738" name="Texto 13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 bwMode="auto">
        <a:xfrm>
          <a:off x="3952875" y="1222248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226</xdr:row>
      <xdr:rowOff>201878</xdr:rowOff>
    </xdr:from>
    <xdr:to>
      <xdr:col>14</xdr:col>
      <xdr:colOff>0</xdr:colOff>
      <xdr:row>226</xdr:row>
      <xdr:rowOff>201878</xdr:rowOff>
    </xdr:to>
    <xdr:sp macro="" textlink="">
      <xdr:nvSpPr>
        <xdr:cNvPr id="1739" name="Texto 13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 bwMode="auto">
        <a:xfrm>
          <a:off x="3952875" y="1222248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226</xdr:row>
      <xdr:rowOff>201878</xdr:rowOff>
    </xdr:from>
    <xdr:to>
      <xdr:col>14</xdr:col>
      <xdr:colOff>0</xdr:colOff>
      <xdr:row>226</xdr:row>
      <xdr:rowOff>201878</xdr:rowOff>
    </xdr:to>
    <xdr:sp macro="" textlink="">
      <xdr:nvSpPr>
        <xdr:cNvPr id="1740" name="Texto 13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 bwMode="auto">
        <a:xfrm>
          <a:off x="3952875" y="1222248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227</xdr:row>
      <xdr:rowOff>4763</xdr:rowOff>
    </xdr:from>
    <xdr:to>
      <xdr:col>14</xdr:col>
      <xdr:colOff>0</xdr:colOff>
      <xdr:row>227</xdr:row>
      <xdr:rowOff>4763</xdr:rowOff>
    </xdr:to>
    <xdr:sp macro="" textlink="">
      <xdr:nvSpPr>
        <xdr:cNvPr id="1741" name="Texto 13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 bwMode="auto">
        <a:xfrm>
          <a:off x="3952875" y="127225425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227</xdr:row>
      <xdr:rowOff>4763</xdr:rowOff>
    </xdr:from>
    <xdr:to>
      <xdr:col>14</xdr:col>
      <xdr:colOff>0</xdr:colOff>
      <xdr:row>227</xdr:row>
      <xdr:rowOff>4763</xdr:rowOff>
    </xdr:to>
    <xdr:sp macro="" textlink="">
      <xdr:nvSpPr>
        <xdr:cNvPr id="1742" name="Texto 13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 bwMode="auto">
        <a:xfrm>
          <a:off x="3952875" y="127225425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227</xdr:row>
      <xdr:rowOff>4763</xdr:rowOff>
    </xdr:from>
    <xdr:to>
      <xdr:col>14</xdr:col>
      <xdr:colOff>0</xdr:colOff>
      <xdr:row>227</xdr:row>
      <xdr:rowOff>4763</xdr:rowOff>
    </xdr:to>
    <xdr:sp macro="" textlink="">
      <xdr:nvSpPr>
        <xdr:cNvPr id="1743" name="Texto 13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 bwMode="auto">
        <a:xfrm>
          <a:off x="3952875" y="127225425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227</xdr:row>
      <xdr:rowOff>4763</xdr:rowOff>
    </xdr:from>
    <xdr:to>
      <xdr:col>14</xdr:col>
      <xdr:colOff>0</xdr:colOff>
      <xdr:row>227</xdr:row>
      <xdr:rowOff>4763</xdr:rowOff>
    </xdr:to>
    <xdr:sp macro="" textlink="">
      <xdr:nvSpPr>
        <xdr:cNvPr id="1744" name="Texto 13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 bwMode="auto">
        <a:xfrm>
          <a:off x="3952875" y="127225425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227</xdr:row>
      <xdr:rowOff>4763</xdr:rowOff>
    </xdr:from>
    <xdr:to>
      <xdr:col>14</xdr:col>
      <xdr:colOff>0</xdr:colOff>
      <xdr:row>227</xdr:row>
      <xdr:rowOff>4763</xdr:rowOff>
    </xdr:to>
    <xdr:sp macro="" textlink="">
      <xdr:nvSpPr>
        <xdr:cNvPr id="1745" name="Texto 13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 bwMode="auto">
        <a:xfrm>
          <a:off x="3952875" y="127225425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227</xdr:row>
      <xdr:rowOff>4763</xdr:rowOff>
    </xdr:from>
    <xdr:to>
      <xdr:col>14</xdr:col>
      <xdr:colOff>0</xdr:colOff>
      <xdr:row>227</xdr:row>
      <xdr:rowOff>4763</xdr:rowOff>
    </xdr:to>
    <xdr:sp macro="" textlink="">
      <xdr:nvSpPr>
        <xdr:cNvPr id="1746" name="Texto 13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 bwMode="auto">
        <a:xfrm>
          <a:off x="3952875" y="127225425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227</xdr:row>
      <xdr:rowOff>4763</xdr:rowOff>
    </xdr:from>
    <xdr:to>
      <xdr:col>14</xdr:col>
      <xdr:colOff>0</xdr:colOff>
      <xdr:row>227</xdr:row>
      <xdr:rowOff>4763</xdr:rowOff>
    </xdr:to>
    <xdr:sp macro="" textlink="">
      <xdr:nvSpPr>
        <xdr:cNvPr id="1747" name="Texto 13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 bwMode="auto">
        <a:xfrm>
          <a:off x="3952875" y="127225425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227</xdr:row>
      <xdr:rowOff>4763</xdr:rowOff>
    </xdr:from>
    <xdr:to>
      <xdr:col>14</xdr:col>
      <xdr:colOff>0</xdr:colOff>
      <xdr:row>227</xdr:row>
      <xdr:rowOff>4763</xdr:rowOff>
    </xdr:to>
    <xdr:sp macro="" textlink="">
      <xdr:nvSpPr>
        <xdr:cNvPr id="1748" name="Texto 13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 bwMode="auto">
        <a:xfrm>
          <a:off x="3952875" y="127225425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14</xdr:col>
      <xdr:colOff>0</xdr:colOff>
      <xdr:row>227</xdr:row>
      <xdr:rowOff>4763</xdr:rowOff>
    </xdr:from>
    <xdr:to>
      <xdr:col>14</xdr:col>
      <xdr:colOff>0</xdr:colOff>
      <xdr:row>227</xdr:row>
      <xdr:rowOff>4763</xdr:rowOff>
    </xdr:to>
    <xdr:sp macro="" textlink="">
      <xdr:nvSpPr>
        <xdr:cNvPr id="1749" name="Texto 13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 bwMode="auto">
        <a:xfrm>
          <a:off x="3952875" y="127225425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pt-BR" sz="500" b="0" i="0" strike="noStrike">
              <a:solidFill>
                <a:srgbClr val="000000"/>
              </a:solidFill>
              <a:latin typeface="Arial"/>
              <a:cs typeface="Arial"/>
            </a:rPr>
            <a:t>revisão</a:t>
          </a:r>
        </a:p>
      </xdr:txBody>
    </xdr:sp>
    <xdr:clientData/>
  </xdr:twoCellAnchor>
  <xdr:twoCellAnchor>
    <xdr:from>
      <xdr:col>38</xdr:col>
      <xdr:colOff>258535</xdr:colOff>
      <xdr:row>33</xdr:row>
      <xdr:rowOff>190501</xdr:rowOff>
    </xdr:from>
    <xdr:to>
      <xdr:col>47</xdr:col>
      <xdr:colOff>144475</xdr:colOff>
      <xdr:row>38</xdr:row>
      <xdr:rowOff>194743</xdr:rowOff>
    </xdr:to>
    <xdr:grpSp>
      <xdr:nvGrpSpPr>
        <xdr:cNvPr id="24" name="Grupo 242">
          <a:extLst>
            <a:ext uri="{FF2B5EF4-FFF2-40B4-BE49-F238E27FC236}">
              <a16:creationId xmlns:a16="http://schemas.microsoft.com/office/drawing/2014/main" id="{B8C9B1A3-CA05-43F1-A18A-C5ADE33C92E5}"/>
            </a:ext>
          </a:extLst>
        </xdr:cNvPr>
        <xdr:cNvGrpSpPr>
          <a:grpSpLocks/>
        </xdr:cNvGrpSpPr>
      </xdr:nvGrpSpPr>
      <xdr:grpSpPr bwMode="auto">
        <a:xfrm>
          <a:off x="16103653" y="8460442"/>
          <a:ext cx="5634557" cy="1012772"/>
          <a:chOff x="6997390" y="10057192"/>
          <a:chExt cx="5317504" cy="1018922"/>
        </a:xfrm>
      </xdr:grpSpPr>
      <xdr:grpSp>
        <xdr:nvGrpSpPr>
          <xdr:cNvPr id="25" name="Grupo 1">
            <a:extLst>
              <a:ext uri="{FF2B5EF4-FFF2-40B4-BE49-F238E27FC236}">
                <a16:creationId xmlns:a16="http://schemas.microsoft.com/office/drawing/2014/main" id="{F0ADD86F-56AC-41B3-BA51-B58A317448BF}"/>
              </a:ext>
            </a:extLst>
          </xdr:cNvPr>
          <xdr:cNvGrpSpPr>
            <a:grpSpLocks/>
          </xdr:cNvGrpSpPr>
        </xdr:nvGrpSpPr>
        <xdr:grpSpPr bwMode="auto">
          <a:xfrm>
            <a:off x="6997390" y="10057192"/>
            <a:ext cx="5317504" cy="1018922"/>
            <a:chOff x="7877175" y="18680292"/>
            <a:chExt cx="5314951" cy="1051215"/>
          </a:xfrm>
        </xdr:grpSpPr>
        <xdr:sp macro="" textlink="">
          <xdr:nvSpPr>
            <xdr:cNvPr id="27" name="Text Box 33">
              <a:extLst>
                <a:ext uri="{FF2B5EF4-FFF2-40B4-BE49-F238E27FC236}">
                  <a16:creationId xmlns:a16="http://schemas.microsoft.com/office/drawing/2014/main" id="{05EBC023-969F-4D79-8D3E-B1C3DF7640B4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2001652" y="18906254"/>
              <a:ext cx="1190474" cy="599291"/>
            </a:xfrm>
            <a:prstGeom prst="rect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pt-BR" sz="900" b="0">
                  <a:latin typeface="Arial" panose="020B0604020202020204" pitchFamily="34" charset="0"/>
                  <a:cs typeface="Arial" panose="020B0604020202020204" pitchFamily="34" charset="0"/>
                </a:rPr>
                <a:t>ATP</a:t>
              </a:r>
            </a:p>
          </xdr:txBody>
        </xdr:sp>
        <xdr:sp macro="" textlink="">
          <xdr:nvSpPr>
            <xdr:cNvPr id="28" name="Text Box 38">
              <a:extLst>
                <a:ext uri="{FF2B5EF4-FFF2-40B4-BE49-F238E27FC236}">
                  <a16:creationId xmlns:a16="http://schemas.microsoft.com/office/drawing/2014/main" id="{54AFC2C8-09A2-4F5A-8F7E-CEED15EEC4FA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7877175" y="18906254"/>
              <a:ext cx="4124477" cy="599291"/>
            </a:xfrm>
            <a:prstGeom prst="rect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spcAft>
                  <a:spcPts val="100"/>
                </a:spcAft>
                <a:defRPr sz="1000"/>
              </a:pPr>
              <a:endParaRPr lang="pt-BR" b="0"/>
            </a:p>
          </xdr:txBody>
        </xdr:sp>
        <xdr:sp macro="" textlink="">
          <xdr:nvSpPr>
            <xdr:cNvPr id="29" name="Text Box 39">
              <a:extLst>
                <a:ext uri="{FF2B5EF4-FFF2-40B4-BE49-F238E27FC236}">
                  <a16:creationId xmlns:a16="http://schemas.microsoft.com/office/drawing/2014/main" id="{B15A539D-47C8-4602-A52A-1E50CE0A3999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7877175" y="19505545"/>
              <a:ext cx="4124477" cy="225962"/>
            </a:xfrm>
            <a:prstGeom prst="rect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/>
              <a:r>
                <a:rPr lang="pt-BR" sz="900" b="0" i="0" baseline="0">
                  <a:effectLst/>
                  <a:latin typeface="Arial" pitchFamily="34" charset="0"/>
                  <a:ea typeface="+mn-ea"/>
                  <a:cs typeface="Arial" pitchFamily="34" charset="0"/>
                </a:rPr>
                <a:t>RESUMO DE TERRAPLENAGEM</a:t>
              </a:r>
            </a:p>
          </xdr:txBody>
        </xdr:sp>
        <xdr:sp macro="" textlink="">
          <xdr:nvSpPr>
            <xdr:cNvPr id="30" name="Text Box 36">
              <a:extLst>
                <a:ext uri="{FF2B5EF4-FFF2-40B4-BE49-F238E27FC236}">
                  <a16:creationId xmlns:a16="http://schemas.microsoft.com/office/drawing/2014/main" id="{AB132219-D0AA-4C58-B217-0E9AFD859587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7877175" y="18680292"/>
              <a:ext cx="5314951" cy="225962"/>
            </a:xfrm>
            <a:prstGeom prst="rect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/>
              <a:r>
                <a:rPr lang="pt-BR" sz="900">
                  <a:effectLst/>
                </a:rPr>
                <a:t>UNIVERSIDADE</a:t>
              </a:r>
              <a:r>
                <a:rPr lang="pt-BR" sz="900" baseline="0">
                  <a:effectLst/>
                </a:rPr>
                <a:t> FEDERAL DE PERNAMBUCO</a:t>
              </a:r>
              <a:endParaRPr lang="pt-BR" sz="900">
                <a:effectLst/>
              </a:endParaRPr>
            </a:p>
          </xdr:txBody>
        </xdr:sp>
      </xdr:grpSp>
      <xdr:sp macro="" textlink="">
        <xdr:nvSpPr>
          <xdr:cNvPr id="26" name="Text Box 40">
            <a:extLst>
              <a:ext uri="{FF2B5EF4-FFF2-40B4-BE49-F238E27FC236}">
                <a16:creationId xmlns:a16="http://schemas.microsoft.com/office/drawing/2014/main" id="{E152A472-E488-430B-8329-B372CC1108D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23848" y="10857093"/>
            <a:ext cx="1191046" cy="219021"/>
          </a:xfrm>
          <a:prstGeom prst="rect">
            <a:avLst/>
          </a:prstGeom>
          <a:solidFill>
            <a:sysClr val="window" lastClr="FFFFFF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pt-BR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DES.- </a:t>
            </a:r>
            <a:endParaRPr lang="pt-BR" b="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59"/>
  <sheetViews>
    <sheetView showGridLines="0" view="pageBreakPreview" topLeftCell="A23" zoomScale="85" zoomScaleNormal="100" zoomScaleSheetLayoutView="85" workbookViewId="0">
      <selection activeCell="G49" sqref="G49"/>
    </sheetView>
  </sheetViews>
  <sheetFormatPr defaultRowHeight="12" x14ac:dyDescent="0.2"/>
  <cols>
    <col min="1" max="1" width="1.42578125" style="238" customWidth="1"/>
    <col min="2" max="2" width="8.140625" style="238" customWidth="1"/>
    <col min="3" max="3" width="12.5703125" style="238" customWidth="1"/>
    <col min="4" max="4" width="5.5703125" style="238" customWidth="1"/>
    <col min="5" max="5" width="11.85546875" style="238" customWidth="1"/>
    <col min="6" max="7" width="13.28515625" style="238" customWidth="1"/>
    <col min="8" max="8" width="13.7109375" style="238" customWidth="1"/>
    <col min="9" max="9" width="13.5703125" style="238" customWidth="1"/>
    <col min="10" max="10" width="8.42578125" style="238" customWidth="1"/>
    <col min="11" max="11" width="5.28515625" style="238" customWidth="1"/>
    <col min="12" max="12" width="10.140625" style="238" customWidth="1"/>
    <col min="13" max="13" width="9.140625" style="238"/>
    <col min="14" max="14" width="8.7109375" style="238" customWidth="1"/>
    <col min="15" max="15" width="2" style="238" customWidth="1"/>
    <col min="16" max="16" width="11.42578125" style="238" customWidth="1"/>
    <col min="17" max="17" width="12.42578125" style="238" customWidth="1"/>
    <col min="18" max="18" width="12.140625" style="238" bestFit="1" customWidth="1"/>
    <col min="19" max="19" width="10.7109375" style="238" customWidth="1"/>
    <col min="20" max="20" width="8.28515625" style="238" customWidth="1"/>
    <col min="21" max="21" width="7.42578125" style="284" customWidth="1"/>
    <col min="22" max="22" width="9.140625" style="238"/>
    <col min="23" max="23" width="12.7109375" style="239" bestFit="1" customWidth="1"/>
    <col min="24" max="24" width="11.7109375" style="239" bestFit="1" customWidth="1"/>
    <col min="25" max="25" width="11.42578125" style="238" customWidth="1"/>
    <col min="26" max="28" width="9.140625" style="238" customWidth="1"/>
    <col min="29" max="29" width="9.140625" style="238"/>
    <col min="30" max="30" width="9.85546875" style="238" bestFit="1" customWidth="1"/>
    <col min="31" max="32" width="9.140625" style="238"/>
    <col min="33" max="33" width="13" style="238" bestFit="1" customWidth="1"/>
    <col min="34" max="35" width="10.42578125" style="238" bestFit="1" customWidth="1"/>
    <col min="36" max="37" width="9.28515625" style="238" bestFit="1" customWidth="1"/>
    <col min="38" max="38" width="11.28515625" style="238" bestFit="1" customWidth="1"/>
    <col min="39" max="39" width="12" style="238" customWidth="1"/>
    <col min="40" max="40" width="13" style="238" customWidth="1"/>
    <col min="41" max="256" width="9.140625" style="238"/>
    <col min="257" max="257" width="1.42578125" style="238" customWidth="1"/>
    <col min="258" max="258" width="8.140625" style="238" customWidth="1"/>
    <col min="259" max="259" width="12.5703125" style="238" customWidth="1"/>
    <col min="260" max="260" width="5.5703125" style="238" customWidth="1"/>
    <col min="261" max="261" width="11.85546875" style="238" customWidth="1"/>
    <col min="262" max="263" width="13.28515625" style="238" customWidth="1"/>
    <col min="264" max="264" width="13.7109375" style="238" customWidth="1"/>
    <col min="265" max="265" width="13.5703125" style="238" customWidth="1"/>
    <col min="266" max="266" width="8.42578125" style="238" customWidth="1"/>
    <col min="267" max="267" width="5.28515625" style="238" customWidth="1"/>
    <col min="268" max="268" width="10.140625" style="238" customWidth="1"/>
    <col min="269" max="269" width="9.140625" style="238"/>
    <col min="270" max="270" width="8.7109375" style="238" customWidth="1"/>
    <col min="271" max="271" width="2" style="238" customWidth="1"/>
    <col min="272" max="272" width="11.42578125" style="238" customWidth="1"/>
    <col min="273" max="273" width="11.85546875" style="238" bestFit="1" customWidth="1"/>
    <col min="274" max="274" width="9.140625" style="238"/>
    <col min="275" max="275" width="10.7109375" style="238" customWidth="1"/>
    <col min="276" max="276" width="8.28515625" style="238" customWidth="1"/>
    <col min="277" max="277" width="7.42578125" style="238" customWidth="1"/>
    <col min="278" max="278" width="9.140625" style="238"/>
    <col min="279" max="279" width="12.7109375" style="238" bestFit="1" customWidth="1"/>
    <col min="280" max="280" width="11.7109375" style="238" bestFit="1" customWidth="1"/>
    <col min="281" max="281" width="11.42578125" style="238" customWidth="1"/>
    <col min="282" max="285" width="9.140625" style="238"/>
    <col min="286" max="286" width="9.85546875" style="238" bestFit="1" customWidth="1"/>
    <col min="287" max="288" width="9.140625" style="238"/>
    <col min="289" max="289" width="13" style="238" bestFit="1" customWidth="1"/>
    <col min="290" max="291" width="10.42578125" style="238" bestFit="1" customWidth="1"/>
    <col min="292" max="293" width="9.28515625" style="238" bestFit="1" customWidth="1"/>
    <col min="294" max="294" width="11.28515625" style="238" bestFit="1" customWidth="1"/>
    <col min="295" max="295" width="12" style="238" customWidth="1"/>
    <col min="296" max="296" width="13" style="238" customWidth="1"/>
    <col min="297" max="512" width="9.140625" style="238"/>
    <col min="513" max="513" width="1.42578125" style="238" customWidth="1"/>
    <col min="514" max="514" width="8.140625" style="238" customWidth="1"/>
    <col min="515" max="515" width="12.5703125" style="238" customWidth="1"/>
    <col min="516" max="516" width="5.5703125" style="238" customWidth="1"/>
    <col min="517" max="517" width="11.85546875" style="238" customWidth="1"/>
    <col min="518" max="519" width="13.28515625" style="238" customWidth="1"/>
    <col min="520" max="520" width="13.7109375" style="238" customWidth="1"/>
    <col min="521" max="521" width="13.5703125" style="238" customWidth="1"/>
    <col min="522" max="522" width="8.42578125" style="238" customWidth="1"/>
    <col min="523" max="523" width="5.28515625" style="238" customWidth="1"/>
    <col min="524" max="524" width="10.140625" style="238" customWidth="1"/>
    <col min="525" max="525" width="9.140625" style="238"/>
    <col min="526" max="526" width="8.7109375" style="238" customWidth="1"/>
    <col min="527" max="527" width="2" style="238" customWidth="1"/>
    <col min="528" max="528" width="11.42578125" style="238" customWidth="1"/>
    <col min="529" max="529" width="11.85546875" style="238" bestFit="1" customWidth="1"/>
    <col min="530" max="530" width="9.140625" style="238"/>
    <col min="531" max="531" width="10.7109375" style="238" customWidth="1"/>
    <col min="532" max="532" width="8.28515625" style="238" customWidth="1"/>
    <col min="533" max="533" width="7.42578125" style="238" customWidth="1"/>
    <col min="534" max="534" width="9.140625" style="238"/>
    <col min="535" max="535" width="12.7109375" style="238" bestFit="1" customWidth="1"/>
    <col min="536" max="536" width="11.7109375" style="238" bestFit="1" customWidth="1"/>
    <col min="537" max="537" width="11.42578125" style="238" customWidth="1"/>
    <col min="538" max="541" width="9.140625" style="238"/>
    <col min="542" max="542" width="9.85546875" style="238" bestFit="1" customWidth="1"/>
    <col min="543" max="544" width="9.140625" style="238"/>
    <col min="545" max="545" width="13" style="238" bestFit="1" customWidth="1"/>
    <col min="546" max="547" width="10.42578125" style="238" bestFit="1" customWidth="1"/>
    <col min="548" max="549" width="9.28515625" style="238" bestFit="1" customWidth="1"/>
    <col min="550" max="550" width="11.28515625" style="238" bestFit="1" customWidth="1"/>
    <col min="551" max="551" width="12" style="238" customWidth="1"/>
    <col min="552" max="552" width="13" style="238" customWidth="1"/>
    <col min="553" max="768" width="9.140625" style="238"/>
    <col min="769" max="769" width="1.42578125" style="238" customWidth="1"/>
    <col min="770" max="770" width="8.140625" style="238" customWidth="1"/>
    <col min="771" max="771" width="12.5703125" style="238" customWidth="1"/>
    <col min="772" max="772" width="5.5703125" style="238" customWidth="1"/>
    <col min="773" max="773" width="11.85546875" style="238" customWidth="1"/>
    <col min="774" max="775" width="13.28515625" style="238" customWidth="1"/>
    <col min="776" max="776" width="13.7109375" style="238" customWidth="1"/>
    <col min="777" max="777" width="13.5703125" style="238" customWidth="1"/>
    <col min="778" max="778" width="8.42578125" style="238" customWidth="1"/>
    <col min="779" max="779" width="5.28515625" style="238" customWidth="1"/>
    <col min="780" max="780" width="10.140625" style="238" customWidth="1"/>
    <col min="781" max="781" width="9.140625" style="238"/>
    <col min="782" max="782" width="8.7109375" style="238" customWidth="1"/>
    <col min="783" max="783" width="2" style="238" customWidth="1"/>
    <col min="784" max="784" width="11.42578125" style="238" customWidth="1"/>
    <col min="785" max="785" width="11.85546875" style="238" bestFit="1" customWidth="1"/>
    <col min="786" max="786" width="9.140625" style="238"/>
    <col min="787" max="787" width="10.7109375" style="238" customWidth="1"/>
    <col min="788" max="788" width="8.28515625" style="238" customWidth="1"/>
    <col min="789" max="789" width="7.42578125" style="238" customWidth="1"/>
    <col min="790" max="790" width="9.140625" style="238"/>
    <col min="791" max="791" width="12.7109375" style="238" bestFit="1" customWidth="1"/>
    <col min="792" max="792" width="11.7109375" style="238" bestFit="1" customWidth="1"/>
    <col min="793" max="793" width="11.42578125" style="238" customWidth="1"/>
    <col min="794" max="797" width="9.140625" style="238"/>
    <col min="798" max="798" width="9.85546875" style="238" bestFit="1" customWidth="1"/>
    <col min="799" max="800" width="9.140625" style="238"/>
    <col min="801" max="801" width="13" style="238" bestFit="1" customWidth="1"/>
    <col min="802" max="803" width="10.42578125" style="238" bestFit="1" customWidth="1"/>
    <col min="804" max="805" width="9.28515625" style="238" bestFit="1" customWidth="1"/>
    <col min="806" max="806" width="11.28515625" style="238" bestFit="1" customWidth="1"/>
    <col min="807" max="807" width="12" style="238" customWidth="1"/>
    <col min="808" max="808" width="13" style="238" customWidth="1"/>
    <col min="809" max="1024" width="9.140625" style="238"/>
    <col min="1025" max="1025" width="1.42578125" style="238" customWidth="1"/>
    <col min="1026" max="1026" width="8.140625" style="238" customWidth="1"/>
    <col min="1027" max="1027" width="12.5703125" style="238" customWidth="1"/>
    <col min="1028" max="1028" width="5.5703125" style="238" customWidth="1"/>
    <col min="1029" max="1029" width="11.85546875" style="238" customWidth="1"/>
    <col min="1030" max="1031" width="13.28515625" style="238" customWidth="1"/>
    <col min="1032" max="1032" width="13.7109375" style="238" customWidth="1"/>
    <col min="1033" max="1033" width="13.5703125" style="238" customWidth="1"/>
    <col min="1034" max="1034" width="8.42578125" style="238" customWidth="1"/>
    <col min="1035" max="1035" width="5.28515625" style="238" customWidth="1"/>
    <col min="1036" max="1036" width="10.140625" style="238" customWidth="1"/>
    <col min="1037" max="1037" width="9.140625" style="238"/>
    <col min="1038" max="1038" width="8.7109375" style="238" customWidth="1"/>
    <col min="1039" max="1039" width="2" style="238" customWidth="1"/>
    <col min="1040" max="1040" width="11.42578125" style="238" customWidth="1"/>
    <col min="1041" max="1041" width="11.85546875" style="238" bestFit="1" customWidth="1"/>
    <col min="1042" max="1042" width="9.140625" style="238"/>
    <col min="1043" max="1043" width="10.7109375" style="238" customWidth="1"/>
    <col min="1044" max="1044" width="8.28515625" style="238" customWidth="1"/>
    <col min="1045" max="1045" width="7.42578125" style="238" customWidth="1"/>
    <col min="1046" max="1046" width="9.140625" style="238"/>
    <col min="1047" max="1047" width="12.7109375" style="238" bestFit="1" customWidth="1"/>
    <col min="1048" max="1048" width="11.7109375" style="238" bestFit="1" customWidth="1"/>
    <col min="1049" max="1049" width="11.42578125" style="238" customWidth="1"/>
    <col min="1050" max="1053" width="9.140625" style="238"/>
    <col min="1054" max="1054" width="9.85546875" style="238" bestFit="1" customWidth="1"/>
    <col min="1055" max="1056" width="9.140625" style="238"/>
    <col min="1057" max="1057" width="13" style="238" bestFit="1" customWidth="1"/>
    <col min="1058" max="1059" width="10.42578125" style="238" bestFit="1" customWidth="1"/>
    <col min="1060" max="1061" width="9.28515625" style="238" bestFit="1" customWidth="1"/>
    <col min="1062" max="1062" width="11.28515625" style="238" bestFit="1" customWidth="1"/>
    <col min="1063" max="1063" width="12" style="238" customWidth="1"/>
    <col min="1064" max="1064" width="13" style="238" customWidth="1"/>
    <col min="1065" max="1280" width="9.140625" style="238"/>
    <col min="1281" max="1281" width="1.42578125" style="238" customWidth="1"/>
    <col min="1282" max="1282" width="8.140625" style="238" customWidth="1"/>
    <col min="1283" max="1283" width="12.5703125" style="238" customWidth="1"/>
    <col min="1284" max="1284" width="5.5703125" style="238" customWidth="1"/>
    <col min="1285" max="1285" width="11.85546875" style="238" customWidth="1"/>
    <col min="1286" max="1287" width="13.28515625" style="238" customWidth="1"/>
    <col min="1288" max="1288" width="13.7109375" style="238" customWidth="1"/>
    <col min="1289" max="1289" width="13.5703125" style="238" customWidth="1"/>
    <col min="1290" max="1290" width="8.42578125" style="238" customWidth="1"/>
    <col min="1291" max="1291" width="5.28515625" style="238" customWidth="1"/>
    <col min="1292" max="1292" width="10.140625" style="238" customWidth="1"/>
    <col min="1293" max="1293" width="9.140625" style="238"/>
    <col min="1294" max="1294" width="8.7109375" style="238" customWidth="1"/>
    <col min="1295" max="1295" width="2" style="238" customWidth="1"/>
    <col min="1296" max="1296" width="11.42578125" style="238" customWidth="1"/>
    <col min="1297" max="1297" width="11.85546875" style="238" bestFit="1" customWidth="1"/>
    <col min="1298" max="1298" width="9.140625" style="238"/>
    <col min="1299" max="1299" width="10.7109375" style="238" customWidth="1"/>
    <col min="1300" max="1300" width="8.28515625" style="238" customWidth="1"/>
    <col min="1301" max="1301" width="7.42578125" style="238" customWidth="1"/>
    <col min="1302" max="1302" width="9.140625" style="238"/>
    <col min="1303" max="1303" width="12.7109375" style="238" bestFit="1" customWidth="1"/>
    <col min="1304" max="1304" width="11.7109375" style="238" bestFit="1" customWidth="1"/>
    <col min="1305" max="1305" width="11.42578125" style="238" customWidth="1"/>
    <col min="1306" max="1309" width="9.140625" style="238"/>
    <col min="1310" max="1310" width="9.85546875" style="238" bestFit="1" customWidth="1"/>
    <col min="1311" max="1312" width="9.140625" style="238"/>
    <col min="1313" max="1313" width="13" style="238" bestFit="1" customWidth="1"/>
    <col min="1314" max="1315" width="10.42578125" style="238" bestFit="1" customWidth="1"/>
    <col min="1316" max="1317" width="9.28515625" style="238" bestFit="1" customWidth="1"/>
    <col min="1318" max="1318" width="11.28515625" style="238" bestFit="1" customWidth="1"/>
    <col min="1319" max="1319" width="12" style="238" customWidth="1"/>
    <col min="1320" max="1320" width="13" style="238" customWidth="1"/>
    <col min="1321" max="1536" width="9.140625" style="238"/>
    <col min="1537" max="1537" width="1.42578125" style="238" customWidth="1"/>
    <col min="1538" max="1538" width="8.140625" style="238" customWidth="1"/>
    <col min="1539" max="1539" width="12.5703125" style="238" customWidth="1"/>
    <col min="1540" max="1540" width="5.5703125" style="238" customWidth="1"/>
    <col min="1541" max="1541" width="11.85546875" style="238" customWidth="1"/>
    <col min="1542" max="1543" width="13.28515625" style="238" customWidth="1"/>
    <col min="1544" max="1544" width="13.7109375" style="238" customWidth="1"/>
    <col min="1545" max="1545" width="13.5703125" style="238" customWidth="1"/>
    <col min="1546" max="1546" width="8.42578125" style="238" customWidth="1"/>
    <col min="1547" max="1547" width="5.28515625" style="238" customWidth="1"/>
    <col min="1548" max="1548" width="10.140625" style="238" customWidth="1"/>
    <col min="1549" max="1549" width="9.140625" style="238"/>
    <col min="1550" max="1550" width="8.7109375" style="238" customWidth="1"/>
    <col min="1551" max="1551" width="2" style="238" customWidth="1"/>
    <col min="1552" max="1552" width="11.42578125" style="238" customWidth="1"/>
    <col min="1553" max="1553" width="11.85546875" style="238" bestFit="1" customWidth="1"/>
    <col min="1554" max="1554" width="9.140625" style="238"/>
    <col min="1555" max="1555" width="10.7109375" style="238" customWidth="1"/>
    <col min="1556" max="1556" width="8.28515625" style="238" customWidth="1"/>
    <col min="1557" max="1557" width="7.42578125" style="238" customWidth="1"/>
    <col min="1558" max="1558" width="9.140625" style="238"/>
    <col min="1559" max="1559" width="12.7109375" style="238" bestFit="1" customWidth="1"/>
    <col min="1560" max="1560" width="11.7109375" style="238" bestFit="1" customWidth="1"/>
    <col min="1561" max="1561" width="11.42578125" style="238" customWidth="1"/>
    <col min="1562" max="1565" width="9.140625" style="238"/>
    <col min="1566" max="1566" width="9.85546875" style="238" bestFit="1" customWidth="1"/>
    <col min="1567" max="1568" width="9.140625" style="238"/>
    <col min="1569" max="1569" width="13" style="238" bestFit="1" customWidth="1"/>
    <col min="1570" max="1571" width="10.42578125" style="238" bestFit="1" customWidth="1"/>
    <col min="1572" max="1573" width="9.28515625" style="238" bestFit="1" customWidth="1"/>
    <col min="1574" max="1574" width="11.28515625" style="238" bestFit="1" customWidth="1"/>
    <col min="1575" max="1575" width="12" style="238" customWidth="1"/>
    <col min="1576" max="1576" width="13" style="238" customWidth="1"/>
    <col min="1577" max="1792" width="9.140625" style="238"/>
    <col min="1793" max="1793" width="1.42578125" style="238" customWidth="1"/>
    <col min="1794" max="1794" width="8.140625" style="238" customWidth="1"/>
    <col min="1795" max="1795" width="12.5703125" style="238" customWidth="1"/>
    <col min="1796" max="1796" width="5.5703125" style="238" customWidth="1"/>
    <col min="1797" max="1797" width="11.85546875" style="238" customWidth="1"/>
    <col min="1798" max="1799" width="13.28515625" style="238" customWidth="1"/>
    <col min="1800" max="1800" width="13.7109375" style="238" customWidth="1"/>
    <col min="1801" max="1801" width="13.5703125" style="238" customWidth="1"/>
    <col min="1802" max="1802" width="8.42578125" style="238" customWidth="1"/>
    <col min="1803" max="1803" width="5.28515625" style="238" customWidth="1"/>
    <col min="1804" max="1804" width="10.140625" style="238" customWidth="1"/>
    <col min="1805" max="1805" width="9.140625" style="238"/>
    <col min="1806" max="1806" width="8.7109375" style="238" customWidth="1"/>
    <col min="1807" max="1807" width="2" style="238" customWidth="1"/>
    <col min="1808" max="1808" width="11.42578125" style="238" customWidth="1"/>
    <col min="1809" max="1809" width="11.85546875" style="238" bestFit="1" customWidth="1"/>
    <col min="1810" max="1810" width="9.140625" style="238"/>
    <col min="1811" max="1811" width="10.7109375" style="238" customWidth="1"/>
    <col min="1812" max="1812" width="8.28515625" style="238" customWidth="1"/>
    <col min="1813" max="1813" width="7.42578125" style="238" customWidth="1"/>
    <col min="1814" max="1814" width="9.140625" style="238"/>
    <col min="1815" max="1815" width="12.7109375" style="238" bestFit="1" customWidth="1"/>
    <col min="1816" max="1816" width="11.7109375" style="238" bestFit="1" customWidth="1"/>
    <col min="1817" max="1817" width="11.42578125" style="238" customWidth="1"/>
    <col min="1818" max="1821" width="9.140625" style="238"/>
    <col min="1822" max="1822" width="9.85546875" style="238" bestFit="1" customWidth="1"/>
    <col min="1823" max="1824" width="9.140625" style="238"/>
    <col min="1825" max="1825" width="13" style="238" bestFit="1" customWidth="1"/>
    <col min="1826" max="1827" width="10.42578125" style="238" bestFit="1" customWidth="1"/>
    <col min="1828" max="1829" width="9.28515625" style="238" bestFit="1" customWidth="1"/>
    <col min="1830" max="1830" width="11.28515625" style="238" bestFit="1" customWidth="1"/>
    <col min="1831" max="1831" width="12" style="238" customWidth="1"/>
    <col min="1832" max="1832" width="13" style="238" customWidth="1"/>
    <col min="1833" max="2048" width="9.140625" style="238"/>
    <col min="2049" max="2049" width="1.42578125" style="238" customWidth="1"/>
    <col min="2050" max="2050" width="8.140625" style="238" customWidth="1"/>
    <col min="2051" max="2051" width="12.5703125" style="238" customWidth="1"/>
    <col min="2052" max="2052" width="5.5703125" style="238" customWidth="1"/>
    <col min="2053" max="2053" width="11.85546875" style="238" customWidth="1"/>
    <col min="2054" max="2055" width="13.28515625" style="238" customWidth="1"/>
    <col min="2056" max="2056" width="13.7109375" style="238" customWidth="1"/>
    <col min="2057" max="2057" width="13.5703125" style="238" customWidth="1"/>
    <col min="2058" max="2058" width="8.42578125" style="238" customWidth="1"/>
    <col min="2059" max="2059" width="5.28515625" style="238" customWidth="1"/>
    <col min="2060" max="2060" width="10.140625" style="238" customWidth="1"/>
    <col min="2061" max="2061" width="9.140625" style="238"/>
    <col min="2062" max="2062" width="8.7109375" style="238" customWidth="1"/>
    <col min="2063" max="2063" width="2" style="238" customWidth="1"/>
    <col min="2064" max="2064" width="11.42578125" style="238" customWidth="1"/>
    <col min="2065" max="2065" width="11.85546875" style="238" bestFit="1" customWidth="1"/>
    <col min="2066" max="2066" width="9.140625" style="238"/>
    <col min="2067" max="2067" width="10.7109375" style="238" customWidth="1"/>
    <col min="2068" max="2068" width="8.28515625" style="238" customWidth="1"/>
    <col min="2069" max="2069" width="7.42578125" style="238" customWidth="1"/>
    <col min="2070" max="2070" width="9.140625" style="238"/>
    <col min="2071" max="2071" width="12.7109375" style="238" bestFit="1" customWidth="1"/>
    <col min="2072" max="2072" width="11.7109375" style="238" bestFit="1" customWidth="1"/>
    <col min="2073" max="2073" width="11.42578125" style="238" customWidth="1"/>
    <col min="2074" max="2077" width="9.140625" style="238"/>
    <col min="2078" max="2078" width="9.85546875" style="238" bestFit="1" customWidth="1"/>
    <col min="2079" max="2080" width="9.140625" style="238"/>
    <col min="2081" max="2081" width="13" style="238" bestFit="1" customWidth="1"/>
    <col min="2082" max="2083" width="10.42578125" style="238" bestFit="1" customWidth="1"/>
    <col min="2084" max="2085" width="9.28515625" style="238" bestFit="1" customWidth="1"/>
    <col min="2086" max="2086" width="11.28515625" style="238" bestFit="1" customWidth="1"/>
    <col min="2087" max="2087" width="12" style="238" customWidth="1"/>
    <col min="2088" max="2088" width="13" style="238" customWidth="1"/>
    <col min="2089" max="2304" width="9.140625" style="238"/>
    <col min="2305" max="2305" width="1.42578125" style="238" customWidth="1"/>
    <col min="2306" max="2306" width="8.140625" style="238" customWidth="1"/>
    <col min="2307" max="2307" width="12.5703125" style="238" customWidth="1"/>
    <col min="2308" max="2308" width="5.5703125" style="238" customWidth="1"/>
    <col min="2309" max="2309" width="11.85546875" style="238" customWidth="1"/>
    <col min="2310" max="2311" width="13.28515625" style="238" customWidth="1"/>
    <col min="2312" max="2312" width="13.7109375" style="238" customWidth="1"/>
    <col min="2313" max="2313" width="13.5703125" style="238" customWidth="1"/>
    <col min="2314" max="2314" width="8.42578125" style="238" customWidth="1"/>
    <col min="2315" max="2315" width="5.28515625" style="238" customWidth="1"/>
    <col min="2316" max="2316" width="10.140625" style="238" customWidth="1"/>
    <col min="2317" max="2317" width="9.140625" style="238"/>
    <col min="2318" max="2318" width="8.7109375" style="238" customWidth="1"/>
    <col min="2319" max="2319" width="2" style="238" customWidth="1"/>
    <col min="2320" max="2320" width="11.42578125" style="238" customWidth="1"/>
    <col min="2321" max="2321" width="11.85546875" style="238" bestFit="1" customWidth="1"/>
    <col min="2322" max="2322" width="9.140625" style="238"/>
    <col min="2323" max="2323" width="10.7109375" style="238" customWidth="1"/>
    <col min="2324" max="2324" width="8.28515625" style="238" customWidth="1"/>
    <col min="2325" max="2325" width="7.42578125" style="238" customWidth="1"/>
    <col min="2326" max="2326" width="9.140625" style="238"/>
    <col min="2327" max="2327" width="12.7109375" style="238" bestFit="1" customWidth="1"/>
    <col min="2328" max="2328" width="11.7109375" style="238" bestFit="1" customWidth="1"/>
    <col min="2329" max="2329" width="11.42578125" style="238" customWidth="1"/>
    <col min="2330" max="2333" width="9.140625" style="238"/>
    <col min="2334" max="2334" width="9.85546875" style="238" bestFit="1" customWidth="1"/>
    <col min="2335" max="2336" width="9.140625" style="238"/>
    <col min="2337" max="2337" width="13" style="238" bestFit="1" customWidth="1"/>
    <col min="2338" max="2339" width="10.42578125" style="238" bestFit="1" customWidth="1"/>
    <col min="2340" max="2341" width="9.28515625" style="238" bestFit="1" customWidth="1"/>
    <col min="2342" max="2342" width="11.28515625" style="238" bestFit="1" customWidth="1"/>
    <col min="2343" max="2343" width="12" style="238" customWidth="1"/>
    <col min="2344" max="2344" width="13" style="238" customWidth="1"/>
    <col min="2345" max="2560" width="9.140625" style="238"/>
    <col min="2561" max="2561" width="1.42578125" style="238" customWidth="1"/>
    <col min="2562" max="2562" width="8.140625" style="238" customWidth="1"/>
    <col min="2563" max="2563" width="12.5703125" style="238" customWidth="1"/>
    <col min="2564" max="2564" width="5.5703125" style="238" customWidth="1"/>
    <col min="2565" max="2565" width="11.85546875" style="238" customWidth="1"/>
    <col min="2566" max="2567" width="13.28515625" style="238" customWidth="1"/>
    <col min="2568" max="2568" width="13.7109375" style="238" customWidth="1"/>
    <col min="2569" max="2569" width="13.5703125" style="238" customWidth="1"/>
    <col min="2570" max="2570" width="8.42578125" style="238" customWidth="1"/>
    <col min="2571" max="2571" width="5.28515625" style="238" customWidth="1"/>
    <col min="2572" max="2572" width="10.140625" style="238" customWidth="1"/>
    <col min="2573" max="2573" width="9.140625" style="238"/>
    <col min="2574" max="2574" width="8.7109375" style="238" customWidth="1"/>
    <col min="2575" max="2575" width="2" style="238" customWidth="1"/>
    <col min="2576" max="2576" width="11.42578125" style="238" customWidth="1"/>
    <col min="2577" max="2577" width="11.85546875" style="238" bestFit="1" customWidth="1"/>
    <col min="2578" max="2578" width="9.140625" style="238"/>
    <col min="2579" max="2579" width="10.7109375" style="238" customWidth="1"/>
    <col min="2580" max="2580" width="8.28515625" style="238" customWidth="1"/>
    <col min="2581" max="2581" width="7.42578125" style="238" customWidth="1"/>
    <col min="2582" max="2582" width="9.140625" style="238"/>
    <col min="2583" max="2583" width="12.7109375" style="238" bestFit="1" customWidth="1"/>
    <col min="2584" max="2584" width="11.7109375" style="238" bestFit="1" customWidth="1"/>
    <col min="2585" max="2585" width="11.42578125" style="238" customWidth="1"/>
    <col min="2586" max="2589" width="9.140625" style="238"/>
    <col min="2590" max="2590" width="9.85546875" style="238" bestFit="1" customWidth="1"/>
    <col min="2591" max="2592" width="9.140625" style="238"/>
    <col min="2593" max="2593" width="13" style="238" bestFit="1" customWidth="1"/>
    <col min="2594" max="2595" width="10.42578125" style="238" bestFit="1" customWidth="1"/>
    <col min="2596" max="2597" width="9.28515625" style="238" bestFit="1" customWidth="1"/>
    <col min="2598" max="2598" width="11.28515625" style="238" bestFit="1" customWidth="1"/>
    <col min="2599" max="2599" width="12" style="238" customWidth="1"/>
    <col min="2600" max="2600" width="13" style="238" customWidth="1"/>
    <col min="2601" max="2816" width="9.140625" style="238"/>
    <col min="2817" max="2817" width="1.42578125" style="238" customWidth="1"/>
    <col min="2818" max="2818" width="8.140625" style="238" customWidth="1"/>
    <col min="2819" max="2819" width="12.5703125" style="238" customWidth="1"/>
    <col min="2820" max="2820" width="5.5703125" style="238" customWidth="1"/>
    <col min="2821" max="2821" width="11.85546875" style="238" customWidth="1"/>
    <col min="2822" max="2823" width="13.28515625" style="238" customWidth="1"/>
    <col min="2824" max="2824" width="13.7109375" style="238" customWidth="1"/>
    <col min="2825" max="2825" width="13.5703125" style="238" customWidth="1"/>
    <col min="2826" max="2826" width="8.42578125" style="238" customWidth="1"/>
    <col min="2827" max="2827" width="5.28515625" style="238" customWidth="1"/>
    <col min="2828" max="2828" width="10.140625" style="238" customWidth="1"/>
    <col min="2829" max="2829" width="9.140625" style="238"/>
    <col min="2830" max="2830" width="8.7109375" style="238" customWidth="1"/>
    <col min="2831" max="2831" width="2" style="238" customWidth="1"/>
    <col min="2832" max="2832" width="11.42578125" style="238" customWidth="1"/>
    <col min="2833" max="2833" width="11.85546875" style="238" bestFit="1" customWidth="1"/>
    <col min="2834" max="2834" width="9.140625" style="238"/>
    <col min="2835" max="2835" width="10.7109375" style="238" customWidth="1"/>
    <col min="2836" max="2836" width="8.28515625" style="238" customWidth="1"/>
    <col min="2837" max="2837" width="7.42578125" style="238" customWidth="1"/>
    <col min="2838" max="2838" width="9.140625" style="238"/>
    <col min="2839" max="2839" width="12.7109375" style="238" bestFit="1" customWidth="1"/>
    <col min="2840" max="2840" width="11.7109375" style="238" bestFit="1" customWidth="1"/>
    <col min="2841" max="2841" width="11.42578125" style="238" customWidth="1"/>
    <col min="2842" max="2845" width="9.140625" style="238"/>
    <col min="2846" max="2846" width="9.85546875" style="238" bestFit="1" customWidth="1"/>
    <col min="2847" max="2848" width="9.140625" style="238"/>
    <col min="2849" max="2849" width="13" style="238" bestFit="1" customWidth="1"/>
    <col min="2850" max="2851" width="10.42578125" style="238" bestFit="1" customWidth="1"/>
    <col min="2852" max="2853" width="9.28515625" style="238" bestFit="1" customWidth="1"/>
    <col min="2854" max="2854" width="11.28515625" style="238" bestFit="1" customWidth="1"/>
    <col min="2855" max="2855" width="12" style="238" customWidth="1"/>
    <col min="2856" max="2856" width="13" style="238" customWidth="1"/>
    <col min="2857" max="3072" width="9.140625" style="238"/>
    <col min="3073" max="3073" width="1.42578125" style="238" customWidth="1"/>
    <col min="3074" max="3074" width="8.140625" style="238" customWidth="1"/>
    <col min="3075" max="3075" width="12.5703125" style="238" customWidth="1"/>
    <col min="3076" max="3076" width="5.5703125" style="238" customWidth="1"/>
    <col min="3077" max="3077" width="11.85546875" style="238" customWidth="1"/>
    <col min="3078" max="3079" width="13.28515625" style="238" customWidth="1"/>
    <col min="3080" max="3080" width="13.7109375" style="238" customWidth="1"/>
    <col min="3081" max="3081" width="13.5703125" style="238" customWidth="1"/>
    <col min="3082" max="3082" width="8.42578125" style="238" customWidth="1"/>
    <col min="3083" max="3083" width="5.28515625" style="238" customWidth="1"/>
    <col min="3084" max="3084" width="10.140625" style="238" customWidth="1"/>
    <col min="3085" max="3085" width="9.140625" style="238"/>
    <col min="3086" max="3086" width="8.7109375" style="238" customWidth="1"/>
    <col min="3087" max="3087" width="2" style="238" customWidth="1"/>
    <col min="3088" max="3088" width="11.42578125" style="238" customWidth="1"/>
    <col min="3089" max="3089" width="11.85546875" style="238" bestFit="1" customWidth="1"/>
    <col min="3090" max="3090" width="9.140625" style="238"/>
    <col min="3091" max="3091" width="10.7109375" style="238" customWidth="1"/>
    <col min="3092" max="3092" width="8.28515625" style="238" customWidth="1"/>
    <col min="3093" max="3093" width="7.42578125" style="238" customWidth="1"/>
    <col min="3094" max="3094" width="9.140625" style="238"/>
    <col min="3095" max="3095" width="12.7109375" style="238" bestFit="1" customWidth="1"/>
    <col min="3096" max="3096" width="11.7109375" style="238" bestFit="1" customWidth="1"/>
    <col min="3097" max="3097" width="11.42578125" style="238" customWidth="1"/>
    <col min="3098" max="3101" width="9.140625" style="238"/>
    <col min="3102" max="3102" width="9.85546875" style="238" bestFit="1" customWidth="1"/>
    <col min="3103" max="3104" width="9.140625" style="238"/>
    <col min="3105" max="3105" width="13" style="238" bestFit="1" customWidth="1"/>
    <col min="3106" max="3107" width="10.42578125" style="238" bestFit="1" customWidth="1"/>
    <col min="3108" max="3109" width="9.28515625" style="238" bestFit="1" customWidth="1"/>
    <col min="3110" max="3110" width="11.28515625" style="238" bestFit="1" customWidth="1"/>
    <col min="3111" max="3111" width="12" style="238" customWidth="1"/>
    <col min="3112" max="3112" width="13" style="238" customWidth="1"/>
    <col min="3113" max="3328" width="9.140625" style="238"/>
    <col min="3329" max="3329" width="1.42578125" style="238" customWidth="1"/>
    <col min="3330" max="3330" width="8.140625" style="238" customWidth="1"/>
    <col min="3331" max="3331" width="12.5703125" style="238" customWidth="1"/>
    <col min="3332" max="3332" width="5.5703125" style="238" customWidth="1"/>
    <col min="3333" max="3333" width="11.85546875" style="238" customWidth="1"/>
    <col min="3334" max="3335" width="13.28515625" style="238" customWidth="1"/>
    <col min="3336" max="3336" width="13.7109375" style="238" customWidth="1"/>
    <col min="3337" max="3337" width="13.5703125" style="238" customWidth="1"/>
    <col min="3338" max="3338" width="8.42578125" style="238" customWidth="1"/>
    <col min="3339" max="3339" width="5.28515625" style="238" customWidth="1"/>
    <col min="3340" max="3340" width="10.140625" style="238" customWidth="1"/>
    <col min="3341" max="3341" width="9.140625" style="238"/>
    <col min="3342" max="3342" width="8.7109375" style="238" customWidth="1"/>
    <col min="3343" max="3343" width="2" style="238" customWidth="1"/>
    <col min="3344" max="3344" width="11.42578125" style="238" customWidth="1"/>
    <col min="3345" max="3345" width="11.85546875" style="238" bestFit="1" customWidth="1"/>
    <col min="3346" max="3346" width="9.140625" style="238"/>
    <col min="3347" max="3347" width="10.7109375" style="238" customWidth="1"/>
    <col min="3348" max="3348" width="8.28515625" style="238" customWidth="1"/>
    <col min="3349" max="3349" width="7.42578125" style="238" customWidth="1"/>
    <col min="3350" max="3350" width="9.140625" style="238"/>
    <col min="3351" max="3351" width="12.7109375" style="238" bestFit="1" customWidth="1"/>
    <col min="3352" max="3352" width="11.7109375" style="238" bestFit="1" customWidth="1"/>
    <col min="3353" max="3353" width="11.42578125" style="238" customWidth="1"/>
    <col min="3354" max="3357" width="9.140625" style="238"/>
    <col min="3358" max="3358" width="9.85546875" style="238" bestFit="1" customWidth="1"/>
    <col min="3359" max="3360" width="9.140625" style="238"/>
    <col min="3361" max="3361" width="13" style="238" bestFit="1" customWidth="1"/>
    <col min="3362" max="3363" width="10.42578125" style="238" bestFit="1" customWidth="1"/>
    <col min="3364" max="3365" width="9.28515625" style="238" bestFit="1" customWidth="1"/>
    <col min="3366" max="3366" width="11.28515625" style="238" bestFit="1" customWidth="1"/>
    <col min="3367" max="3367" width="12" style="238" customWidth="1"/>
    <col min="3368" max="3368" width="13" style="238" customWidth="1"/>
    <col min="3369" max="3584" width="9.140625" style="238"/>
    <col min="3585" max="3585" width="1.42578125" style="238" customWidth="1"/>
    <col min="3586" max="3586" width="8.140625" style="238" customWidth="1"/>
    <col min="3587" max="3587" width="12.5703125" style="238" customWidth="1"/>
    <col min="3588" max="3588" width="5.5703125" style="238" customWidth="1"/>
    <col min="3589" max="3589" width="11.85546875" style="238" customWidth="1"/>
    <col min="3590" max="3591" width="13.28515625" style="238" customWidth="1"/>
    <col min="3592" max="3592" width="13.7109375" style="238" customWidth="1"/>
    <col min="3593" max="3593" width="13.5703125" style="238" customWidth="1"/>
    <col min="3594" max="3594" width="8.42578125" style="238" customWidth="1"/>
    <col min="3595" max="3595" width="5.28515625" style="238" customWidth="1"/>
    <col min="3596" max="3596" width="10.140625" style="238" customWidth="1"/>
    <col min="3597" max="3597" width="9.140625" style="238"/>
    <col min="3598" max="3598" width="8.7109375" style="238" customWidth="1"/>
    <col min="3599" max="3599" width="2" style="238" customWidth="1"/>
    <col min="3600" max="3600" width="11.42578125" style="238" customWidth="1"/>
    <col min="3601" max="3601" width="11.85546875" style="238" bestFit="1" customWidth="1"/>
    <col min="3602" max="3602" width="9.140625" style="238"/>
    <col min="3603" max="3603" width="10.7109375" style="238" customWidth="1"/>
    <col min="3604" max="3604" width="8.28515625" style="238" customWidth="1"/>
    <col min="3605" max="3605" width="7.42578125" style="238" customWidth="1"/>
    <col min="3606" max="3606" width="9.140625" style="238"/>
    <col min="3607" max="3607" width="12.7109375" style="238" bestFit="1" customWidth="1"/>
    <col min="3608" max="3608" width="11.7109375" style="238" bestFit="1" customWidth="1"/>
    <col min="3609" max="3609" width="11.42578125" style="238" customWidth="1"/>
    <col min="3610" max="3613" width="9.140625" style="238"/>
    <col min="3614" max="3614" width="9.85546875" style="238" bestFit="1" customWidth="1"/>
    <col min="3615" max="3616" width="9.140625" style="238"/>
    <col min="3617" max="3617" width="13" style="238" bestFit="1" customWidth="1"/>
    <col min="3618" max="3619" width="10.42578125" style="238" bestFit="1" customWidth="1"/>
    <col min="3620" max="3621" width="9.28515625" style="238" bestFit="1" customWidth="1"/>
    <col min="3622" max="3622" width="11.28515625" style="238" bestFit="1" customWidth="1"/>
    <col min="3623" max="3623" width="12" style="238" customWidth="1"/>
    <col min="3624" max="3624" width="13" style="238" customWidth="1"/>
    <col min="3625" max="3840" width="9.140625" style="238"/>
    <col min="3841" max="3841" width="1.42578125" style="238" customWidth="1"/>
    <col min="3842" max="3842" width="8.140625" style="238" customWidth="1"/>
    <col min="3843" max="3843" width="12.5703125" style="238" customWidth="1"/>
    <col min="3844" max="3844" width="5.5703125" style="238" customWidth="1"/>
    <col min="3845" max="3845" width="11.85546875" style="238" customWidth="1"/>
    <col min="3846" max="3847" width="13.28515625" style="238" customWidth="1"/>
    <col min="3848" max="3848" width="13.7109375" style="238" customWidth="1"/>
    <col min="3849" max="3849" width="13.5703125" style="238" customWidth="1"/>
    <col min="3850" max="3850" width="8.42578125" style="238" customWidth="1"/>
    <col min="3851" max="3851" width="5.28515625" style="238" customWidth="1"/>
    <col min="3852" max="3852" width="10.140625" style="238" customWidth="1"/>
    <col min="3853" max="3853" width="9.140625" style="238"/>
    <col min="3854" max="3854" width="8.7109375" style="238" customWidth="1"/>
    <col min="3855" max="3855" width="2" style="238" customWidth="1"/>
    <col min="3856" max="3856" width="11.42578125" style="238" customWidth="1"/>
    <col min="3857" max="3857" width="11.85546875" style="238" bestFit="1" customWidth="1"/>
    <col min="3858" max="3858" width="9.140625" style="238"/>
    <col min="3859" max="3859" width="10.7109375" style="238" customWidth="1"/>
    <col min="3860" max="3860" width="8.28515625" style="238" customWidth="1"/>
    <col min="3861" max="3861" width="7.42578125" style="238" customWidth="1"/>
    <col min="3862" max="3862" width="9.140625" style="238"/>
    <col min="3863" max="3863" width="12.7109375" style="238" bestFit="1" customWidth="1"/>
    <col min="3864" max="3864" width="11.7109375" style="238" bestFit="1" customWidth="1"/>
    <col min="3865" max="3865" width="11.42578125" style="238" customWidth="1"/>
    <col min="3866" max="3869" width="9.140625" style="238"/>
    <col min="3870" max="3870" width="9.85546875" style="238" bestFit="1" customWidth="1"/>
    <col min="3871" max="3872" width="9.140625" style="238"/>
    <col min="3873" max="3873" width="13" style="238" bestFit="1" customWidth="1"/>
    <col min="3874" max="3875" width="10.42578125" style="238" bestFit="1" customWidth="1"/>
    <col min="3876" max="3877" width="9.28515625" style="238" bestFit="1" customWidth="1"/>
    <col min="3878" max="3878" width="11.28515625" style="238" bestFit="1" customWidth="1"/>
    <col min="3879" max="3879" width="12" style="238" customWidth="1"/>
    <col min="3880" max="3880" width="13" style="238" customWidth="1"/>
    <col min="3881" max="4096" width="9.140625" style="238"/>
    <col min="4097" max="4097" width="1.42578125" style="238" customWidth="1"/>
    <col min="4098" max="4098" width="8.140625" style="238" customWidth="1"/>
    <col min="4099" max="4099" width="12.5703125" style="238" customWidth="1"/>
    <col min="4100" max="4100" width="5.5703125" style="238" customWidth="1"/>
    <col min="4101" max="4101" width="11.85546875" style="238" customWidth="1"/>
    <col min="4102" max="4103" width="13.28515625" style="238" customWidth="1"/>
    <col min="4104" max="4104" width="13.7109375" style="238" customWidth="1"/>
    <col min="4105" max="4105" width="13.5703125" style="238" customWidth="1"/>
    <col min="4106" max="4106" width="8.42578125" style="238" customWidth="1"/>
    <col min="4107" max="4107" width="5.28515625" style="238" customWidth="1"/>
    <col min="4108" max="4108" width="10.140625" style="238" customWidth="1"/>
    <col min="4109" max="4109" width="9.140625" style="238"/>
    <col min="4110" max="4110" width="8.7109375" style="238" customWidth="1"/>
    <col min="4111" max="4111" width="2" style="238" customWidth="1"/>
    <col min="4112" max="4112" width="11.42578125" style="238" customWidth="1"/>
    <col min="4113" max="4113" width="11.85546875" style="238" bestFit="1" customWidth="1"/>
    <col min="4114" max="4114" width="9.140625" style="238"/>
    <col min="4115" max="4115" width="10.7109375" style="238" customWidth="1"/>
    <col min="4116" max="4116" width="8.28515625" style="238" customWidth="1"/>
    <col min="4117" max="4117" width="7.42578125" style="238" customWidth="1"/>
    <col min="4118" max="4118" width="9.140625" style="238"/>
    <col min="4119" max="4119" width="12.7109375" style="238" bestFit="1" customWidth="1"/>
    <col min="4120" max="4120" width="11.7109375" style="238" bestFit="1" customWidth="1"/>
    <col min="4121" max="4121" width="11.42578125" style="238" customWidth="1"/>
    <col min="4122" max="4125" width="9.140625" style="238"/>
    <col min="4126" max="4126" width="9.85546875" style="238" bestFit="1" customWidth="1"/>
    <col min="4127" max="4128" width="9.140625" style="238"/>
    <col min="4129" max="4129" width="13" style="238" bestFit="1" customWidth="1"/>
    <col min="4130" max="4131" width="10.42578125" style="238" bestFit="1" customWidth="1"/>
    <col min="4132" max="4133" width="9.28515625" style="238" bestFit="1" customWidth="1"/>
    <col min="4134" max="4134" width="11.28515625" style="238" bestFit="1" customWidth="1"/>
    <col min="4135" max="4135" width="12" style="238" customWidth="1"/>
    <col min="4136" max="4136" width="13" style="238" customWidth="1"/>
    <col min="4137" max="4352" width="9.140625" style="238"/>
    <col min="4353" max="4353" width="1.42578125" style="238" customWidth="1"/>
    <col min="4354" max="4354" width="8.140625" style="238" customWidth="1"/>
    <col min="4355" max="4355" width="12.5703125" style="238" customWidth="1"/>
    <col min="4356" max="4356" width="5.5703125" style="238" customWidth="1"/>
    <col min="4357" max="4357" width="11.85546875" style="238" customWidth="1"/>
    <col min="4358" max="4359" width="13.28515625" style="238" customWidth="1"/>
    <col min="4360" max="4360" width="13.7109375" style="238" customWidth="1"/>
    <col min="4361" max="4361" width="13.5703125" style="238" customWidth="1"/>
    <col min="4362" max="4362" width="8.42578125" style="238" customWidth="1"/>
    <col min="4363" max="4363" width="5.28515625" style="238" customWidth="1"/>
    <col min="4364" max="4364" width="10.140625" style="238" customWidth="1"/>
    <col min="4365" max="4365" width="9.140625" style="238"/>
    <col min="4366" max="4366" width="8.7109375" style="238" customWidth="1"/>
    <col min="4367" max="4367" width="2" style="238" customWidth="1"/>
    <col min="4368" max="4368" width="11.42578125" style="238" customWidth="1"/>
    <col min="4369" max="4369" width="11.85546875" style="238" bestFit="1" customWidth="1"/>
    <col min="4370" max="4370" width="9.140625" style="238"/>
    <col min="4371" max="4371" width="10.7109375" style="238" customWidth="1"/>
    <col min="4372" max="4372" width="8.28515625" style="238" customWidth="1"/>
    <col min="4373" max="4373" width="7.42578125" style="238" customWidth="1"/>
    <col min="4374" max="4374" width="9.140625" style="238"/>
    <col min="4375" max="4375" width="12.7109375" style="238" bestFit="1" customWidth="1"/>
    <col min="4376" max="4376" width="11.7109375" style="238" bestFit="1" customWidth="1"/>
    <col min="4377" max="4377" width="11.42578125" style="238" customWidth="1"/>
    <col min="4378" max="4381" width="9.140625" style="238"/>
    <col min="4382" max="4382" width="9.85546875" style="238" bestFit="1" customWidth="1"/>
    <col min="4383" max="4384" width="9.140625" style="238"/>
    <col min="4385" max="4385" width="13" style="238" bestFit="1" customWidth="1"/>
    <col min="4386" max="4387" width="10.42578125" style="238" bestFit="1" customWidth="1"/>
    <col min="4388" max="4389" width="9.28515625" style="238" bestFit="1" customWidth="1"/>
    <col min="4390" max="4390" width="11.28515625" style="238" bestFit="1" customWidth="1"/>
    <col min="4391" max="4391" width="12" style="238" customWidth="1"/>
    <col min="4392" max="4392" width="13" style="238" customWidth="1"/>
    <col min="4393" max="4608" width="9.140625" style="238"/>
    <col min="4609" max="4609" width="1.42578125" style="238" customWidth="1"/>
    <col min="4610" max="4610" width="8.140625" style="238" customWidth="1"/>
    <col min="4611" max="4611" width="12.5703125" style="238" customWidth="1"/>
    <col min="4612" max="4612" width="5.5703125" style="238" customWidth="1"/>
    <col min="4613" max="4613" width="11.85546875" style="238" customWidth="1"/>
    <col min="4614" max="4615" width="13.28515625" style="238" customWidth="1"/>
    <col min="4616" max="4616" width="13.7109375" style="238" customWidth="1"/>
    <col min="4617" max="4617" width="13.5703125" style="238" customWidth="1"/>
    <col min="4618" max="4618" width="8.42578125" style="238" customWidth="1"/>
    <col min="4619" max="4619" width="5.28515625" style="238" customWidth="1"/>
    <col min="4620" max="4620" width="10.140625" style="238" customWidth="1"/>
    <col min="4621" max="4621" width="9.140625" style="238"/>
    <col min="4622" max="4622" width="8.7109375" style="238" customWidth="1"/>
    <col min="4623" max="4623" width="2" style="238" customWidth="1"/>
    <col min="4624" max="4624" width="11.42578125" style="238" customWidth="1"/>
    <col min="4625" max="4625" width="11.85546875" style="238" bestFit="1" customWidth="1"/>
    <col min="4626" max="4626" width="9.140625" style="238"/>
    <col min="4627" max="4627" width="10.7109375" style="238" customWidth="1"/>
    <col min="4628" max="4628" width="8.28515625" style="238" customWidth="1"/>
    <col min="4629" max="4629" width="7.42578125" style="238" customWidth="1"/>
    <col min="4630" max="4630" width="9.140625" style="238"/>
    <col min="4631" max="4631" width="12.7109375" style="238" bestFit="1" customWidth="1"/>
    <col min="4632" max="4632" width="11.7109375" style="238" bestFit="1" customWidth="1"/>
    <col min="4633" max="4633" width="11.42578125" style="238" customWidth="1"/>
    <col min="4634" max="4637" width="9.140625" style="238"/>
    <col min="4638" max="4638" width="9.85546875" style="238" bestFit="1" customWidth="1"/>
    <col min="4639" max="4640" width="9.140625" style="238"/>
    <col min="4641" max="4641" width="13" style="238" bestFit="1" customWidth="1"/>
    <col min="4642" max="4643" width="10.42578125" style="238" bestFit="1" customWidth="1"/>
    <col min="4644" max="4645" width="9.28515625" style="238" bestFit="1" customWidth="1"/>
    <col min="4646" max="4646" width="11.28515625" style="238" bestFit="1" customWidth="1"/>
    <col min="4647" max="4647" width="12" style="238" customWidth="1"/>
    <col min="4648" max="4648" width="13" style="238" customWidth="1"/>
    <col min="4649" max="4864" width="9.140625" style="238"/>
    <col min="4865" max="4865" width="1.42578125" style="238" customWidth="1"/>
    <col min="4866" max="4866" width="8.140625" style="238" customWidth="1"/>
    <col min="4867" max="4867" width="12.5703125" style="238" customWidth="1"/>
    <col min="4868" max="4868" width="5.5703125" style="238" customWidth="1"/>
    <col min="4869" max="4869" width="11.85546875" style="238" customWidth="1"/>
    <col min="4870" max="4871" width="13.28515625" style="238" customWidth="1"/>
    <col min="4872" max="4872" width="13.7109375" style="238" customWidth="1"/>
    <col min="4873" max="4873" width="13.5703125" style="238" customWidth="1"/>
    <col min="4874" max="4874" width="8.42578125" style="238" customWidth="1"/>
    <col min="4875" max="4875" width="5.28515625" style="238" customWidth="1"/>
    <col min="4876" max="4876" width="10.140625" style="238" customWidth="1"/>
    <col min="4877" max="4877" width="9.140625" style="238"/>
    <col min="4878" max="4878" width="8.7109375" style="238" customWidth="1"/>
    <col min="4879" max="4879" width="2" style="238" customWidth="1"/>
    <col min="4880" max="4880" width="11.42578125" style="238" customWidth="1"/>
    <col min="4881" max="4881" width="11.85546875" style="238" bestFit="1" customWidth="1"/>
    <col min="4882" max="4882" width="9.140625" style="238"/>
    <col min="4883" max="4883" width="10.7109375" style="238" customWidth="1"/>
    <col min="4884" max="4884" width="8.28515625" style="238" customWidth="1"/>
    <col min="4885" max="4885" width="7.42578125" style="238" customWidth="1"/>
    <col min="4886" max="4886" width="9.140625" style="238"/>
    <col min="4887" max="4887" width="12.7109375" style="238" bestFit="1" customWidth="1"/>
    <col min="4888" max="4888" width="11.7109375" style="238" bestFit="1" customWidth="1"/>
    <col min="4889" max="4889" width="11.42578125" style="238" customWidth="1"/>
    <col min="4890" max="4893" width="9.140625" style="238"/>
    <col min="4894" max="4894" width="9.85546875" style="238" bestFit="1" customWidth="1"/>
    <col min="4895" max="4896" width="9.140625" style="238"/>
    <col min="4897" max="4897" width="13" style="238" bestFit="1" customWidth="1"/>
    <col min="4898" max="4899" width="10.42578125" style="238" bestFit="1" customWidth="1"/>
    <col min="4900" max="4901" width="9.28515625" style="238" bestFit="1" customWidth="1"/>
    <col min="4902" max="4902" width="11.28515625" style="238" bestFit="1" customWidth="1"/>
    <col min="4903" max="4903" width="12" style="238" customWidth="1"/>
    <col min="4904" max="4904" width="13" style="238" customWidth="1"/>
    <col min="4905" max="5120" width="9.140625" style="238"/>
    <col min="5121" max="5121" width="1.42578125" style="238" customWidth="1"/>
    <col min="5122" max="5122" width="8.140625" style="238" customWidth="1"/>
    <col min="5123" max="5123" width="12.5703125" style="238" customWidth="1"/>
    <col min="5124" max="5124" width="5.5703125" style="238" customWidth="1"/>
    <col min="5125" max="5125" width="11.85546875" style="238" customWidth="1"/>
    <col min="5126" max="5127" width="13.28515625" style="238" customWidth="1"/>
    <col min="5128" max="5128" width="13.7109375" style="238" customWidth="1"/>
    <col min="5129" max="5129" width="13.5703125" style="238" customWidth="1"/>
    <col min="5130" max="5130" width="8.42578125" style="238" customWidth="1"/>
    <col min="5131" max="5131" width="5.28515625" style="238" customWidth="1"/>
    <col min="5132" max="5132" width="10.140625" style="238" customWidth="1"/>
    <col min="5133" max="5133" width="9.140625" style="238"/>
    <col min="5134" max="5134" width="8.7109375" style="238" customWidth="1"/>
    <col min="5135" max="5135" width="2" style="238" customWidth="1"/>
    <col min="5136" max="5136" width="11.42578125" style="238" customWidth="1"/>
    <col min="5137" max="5137" width="11.85546875" style="238" bestFit="1" customWidth="1"/>
    <col min="5138" max="5138" width="9.140625" style="238"/>
    <col min="5139" max="5139" width="10.7109375" style="238" customWidth="1"/>
    <col min="5140" max="5140" width="8.28515625" style="238" customWidth="1"/>
    <col min="5141" max="5141" width="7.42578125" style="238" customWidth="1"/>
    <col min="5142" max="5142" width="9.140625" style="238"/>
    <col min="5143" max="5143" width="12.7109375" style="238" bestFit="1" customWidth="1"/>
    <col min="5144" max="5144" width="11.7109375" style="238" bestFit="1" customWidth="1"/>
    <col min="5145" max="5145" width="11.42578125" style="238" customWidth="1"/>
    <col min="5146" max="5149" width="9.140625" style="238"/>
    <col min="5150" max="5150" width="9.85546875" style="238" bestFit="1" customWidth="1"/>
    <col min="5151" max="5152" width="9.140625" style="238"/>
    <col min="5153" max="5153" width="13" style="238" bestFit="1" customWidth="1"/>
    <col min="5154" max="5155" width="10.42578125" style="238" bestFit="1" customWidth="1"/>
    <col min="5156" max="5157" width="9.28515625" style="238" bestFit="1" customWidth="1"/>
    <col min="5158" max="5158" width="11.28515625" style="238" bestFit="1" customWidth="1"/>
    <col min="5159" max="5159" width="12" style="238" customWidth="1"/>
    <col min="5160" max="5160" width="13" style="238" customWidth="1"/>
    <col min="5161" max="5376" width="9.140625" style="238"/>
    <col min="5377" max="5377" width="1.42578125" style="238" customWidth="1"/>
    <col min="5378" max="5378" width="8.140625" style="238" customWidth="1"/>
    <col min="5379" max="5379" width="12.5703125" style="238" customWidth="1"/>
    <col min="5380" max="5380" width="5.5703125" style="238" customWidth="1"/>
    <col min="5381" max="5381" width="11.85546875" style="238" customWidth="1"/>
    <col min="5382" max="5383" width="13.28515625" style="238" customWidth="1"/>
    <col min="5384" max="5384" width="13.7109375" style="238" customWidth="1"/>
    <col min="5385" max="5385" width="13.5703125" style="238" customWidth="1"/>
    <col min="5386" max="5386" width="8.42578125" style="238" customWidth="1"/>
    <col min="5387" max="5387" width="5.28515625" style="238" customWidth="1"/>
    <col min="5388" max="5388" width="10.140625" style="238" customWidth="1"/>
    <col min="5389" max="5389" width="9.140625" style="238"/>
    <col min="5390" max="5390" width="8.7109375" style="238" customWidth="1"/>
    <col min="5391" max="5391" width="2" style="238" customWidth="1"/>
    <col min="5392" max="5392" width="11.42578125" style="238" customWidth="1"/>
    <col min="5393" max="5393" width="11.85546875" style="238" bestFit="1" customWidth="1"/>
    <col min="5394" max="5394" width="9.140625" style="238"/>
    <col min="5395" max="5395" width="10.7109375" style="238" customWidth="1"/>
    <col min="5396" max="5396" width="8.28515625" style="238" customWidth="1"/>
    <col min="5397" max="5397" width="7.42578125" style="238" customWidth="1"/>
    <col min="5398" max="5398" width="9.140625" style="238"/>
    <col min="5399" max="5399" width="12.7109375" style="238" bestFit="1" customWidth="1"/>
    <col min="5400" max="5400" width="11.7109375" style="238" bestFit="1" customWidth="1"/>
    <col min="5401" max="5401" width="11.42578125" style="238" customWidth="1"/>
    <col min="5402" max="5405" width="9.140625" style="238"/>
    <col min="5406" max="5406" width="9.85546875" style="238" bestFit="1" customWidth="1"/>
    <col min="5407" max="5408" width="9.140625" style="238"/>
    <col min="5409" max="5409" width="13" style="238" bestFit="1" customWidth="1"/>
    <col min="5410" max="5411" width="10.42578125" style="238" bestFit="1" customWidth="1"/>
    <col min="5412" max="5413" width="9.28515625" style="238" bestFit="1" customWidth="1"/>
    <col min="5414" max="5414" width="11.28515625" style="238" bestFit="1" customWidth="1"/>
    <col min="5415" max="5415" width="12" style="238" customWidth="1"/>
    <col min="5416" max="5416" width="13" style="238" customWidth="1"/>
    <col min="5417" max="5632" width="9.140625" style="238"/>
    <col min="5633" max="5633" width="1.42578125" style="238" customWidth="1"/>
    <col min="5634" max="5634" width="8.140625" style="238" customWidth="1"/>
    <col min="5635" max="5635" width="12.5703125" style="238" customWidth="1"/>
    <col min="5636" max="5636" width="5.5703125" style="238" customWidth="1"/>
    <col min="5637" max="5637" width="11.85546875" style="238" customWidth="1"/>
    <col min="5638" max="5639" width="13.28515625" style="238" customWidth="1"/>
    <col min="5640" max="5640" width="13.7109375" style="238" customWidth="1"/>
    <col min="5641" max="5641" width="13.5703125" style="238" customWidth="1"/>
    <col min="5642" max="5642" width="8.42578125" style="238" customWidth="1"/>
    <col min="5643" max="5643" width="5.28515625" style="238" customWidth="1"/>
    <col min="5644" max="5644" width="10.140625" style="238" customWidth="1"/>
    <col min="5645" max="5645" width="9.140625" style="238"/>
    <col min="5646" max="5646" width="8.7109375" style="238" customWidth="1"/>
    <col min="5647" max="5647" width="2" style="238" customWidth="1"/>
    <col min="5648" max="5648" width="11.42578125" style="238" customWidth="1"/>
    <col min="5649" max="5649" width="11.85546875" style="238" bestFit="1" customWidth="1"/>
    <col min="5650" max="5650" width="9.140625" style="238"/>
    <col min="5651" max="5651" width="10.7109375" style="238" customWidth="1"/>
    <col min="5652" max="5652" width="8.28515625" style="238" customWidth="1"/>
    <col min="5653" max="5653" width="7.42578125" style="238" customWidth="1"/>
    <col min="5654" max="5654" width="9.140625" style="238"/>
    <col min="5655" max="5655" width="12.7109375" style="238" bestFit="1" customWidth="1"/>
    <col min="5656" max="5656" width="11.7109375" style="238" bestFit="1" customWidth="1"/>
    <col min="5657" max="5657" width="11.42578125" style="238" customWidth="1"/>
    <col min="5658" max="5661" width="9.140625" style="238"/>
    <col min="5662" max="5662" width="9.85546875" style="238" bestFit="1" customWidth="1"/>
    <col min="5663" max="5664" width="9.140625" style="238"/>
    <col min="5665" max="5665" width="13" style="238" bestFit="1" customWidth="1"/>
    <col min="5666" max="5667" width="10.42578125" style="238" bestFit="1" customWidth="1"/>
    <col min="5668" max="5669" width="9.28515625" style="238" bestFit="1" customWidth="1"/>
    <col min="5670" max="5670" width="11.28515625" style="238" bestFit="1" customWidth="1"/>
    <col min="5671" max="5671" width="12" style="238" customWidth="1"/>
    <col min="5672" max="5672" width="13" style="238" customWidth="1"/>
    <col min="5673" max="5888" width="9.140625" style="238"/>
    <col min="5889" max="5889" width="1.42578125" style="238" customWidth="1"/>
    <col min="5890" max="5890" width="8.140625" style="238" customWidth="1"/>
    <col min="5891" max="5891" width="12.5703125" style="238" customWidth="1"/>
    <col min="5892" max="5892" width="5.5703125" style="238" customWidth="1"/>
    <col min="5893" max="5893" width="11.85546875" style="238" customWidth="1"/>
    <col min="5894" max="5895" width="13.28515625" style="238" customWidth="1"/>
    <col min="5896" max="5896" width="13.7109375" style="238" customWidth="1"/>
    <col min="5897" max="5897" width="13.5703125" style="238" customWidth="1"/>
    <col min="5898" max="5898" width="8.42578125" style="238" customWidth="1"/>
    <col min="5899" max="5899" width="5.28515625" style="238" customWidth="1"/>
    <col min="5900" max="5900" width="10.140625" style="238" customWidth="1"/>
    <col min="5901" max="5901" width="9.140625" style="238"/>
    <col min="5902" max="5902" width="8.7109375" style="238" customWidth="1"/>
    <col min="5903" max="5903" width="2" style="238" customWidth="1"/>
    <col min="5904" max="5904" width="11.42578125" style="238" customWidth="1"/>
    <col min="5905" max="5905" width="11.85546875" style="238" bestFit="1" customWidth="1"/>
    <col min="5906" max="5906" width="9.140625" style="238"/>
    <col min="5907" max="5907" width="10.7109375" style="238" customWidth="1"/>
    <col min="5908" max="5908" width="8.28515625" style="238" customWidth="1"/>
    <col min="5909" max="5909" width="7.42578125" style="238" customWidth="1"/>
    <col min="5910" max="5910" width="9.140625" style="238"/>
    <col min="5911" max="5911" width="12.7109375" style="238" bestFit="1" customWidth="1"/>
    <col min="5912" max="5912" width="11.7109375" style="238" bestFit="1" customWidth="1"/>
    <col min="5913" max="5913" width="11.42578125" style="238" customWidth="1"/>
    <col min="5914" max="5917" width="9.140625" style="238"/>
    <col min="5918" max="5918" width="9.85546875" style="238" bestFit="1" customWidth="1"/>
    <col min="5919" max="5920" width="9.140625" style="238"/>
    <col min="5921" max="5921" width="13" style="238" bestFit="1" customWidth="1"/>
    <col min="5922" max="5923" width="10.42578125" style="238" bestFit="1" customWidth="1"/>
    <col min="5924" max="5925" width="9.28515625" style="238" bestFit="1" customWidth="1"/>
    <col min="5926" max="5926" width="11.28515625" style="238" bestFit="1" customWidth="1"/>
    <col min="5927" max="5927" width="12" style="238" customWidth="1"/>
    <col min="5928" max="5928" width="13" style="238" customWidth="1"/>
    <col min="5929" max="6144" width="9.140625" style="238"/>
    <col min="6145" max="6145" width="1.42578125" style="238" customWidth="1"/>
    <col min="6146" max="6146" width="8.140625" style="238" customWidth="1"/>
    <col min="6147" max="6147" width="12.5703125" style="238" customWidth="1"/>
    <col min="6148" max="6148" width="5.5703125" style="238" customWidth="1"/>
    <col min="6149" max="6149" width="11.85546875" style="238" customWidth="1"/>
    <col min="6150" max="6151" width="13.28515625" style="238" customWidth="1"/>
    <col min="6152" max="6152" width="13.7109375" style="238" customWidth="1"/>
    <col min="6153" max="6153" width="13.5703125" style="238" customWidth="1"/>
    <col min="6154" max="6154" width="8.42578125" style="238" customWidth="1"/>
    <col min="6155" max="6155" width="5.28515625" style="238" customWidth="1"/>
    <col min="6156" max="6156" width="10.140625" style="238" customWidth="1"/>
    <col min="6157" max="6157" width="9.140625" style="238"/>
    <col min="6158" max="6158" width="8.7109375" style="238" customWidth="1"/>
    <col min="6159" max="6159" width="2" style="238" customWidth="1"/>
    <col min="6160" max="6160" width="11.42578125" style="238" customWidth="1"/>
    <col min="6161" max="6161" width="11.85546875" style="238" bestFit="1" customWidth="1"/>
    <col min="6162" max="6162" width="9.140625" style="238"/>
    <col min="6163" max="6163" width="10.7109375" style="238" customWidth="1"/>
    <col min="6164" max="6164" width="8.28515625" style="238" customWidth="1"/>
    <col min="6165" max="6165" width="7.42578125" style="238" customWidth="1"/>
    <col min="6166" max="6166" width="9.140625" style="238"/>
    <col min="6167" max="6167" width="12.7109375" style="238" bestFit="1" customWidth="1"/>
    <col min="6168" max="6168" width="11.7109375" style="238" bestFit="1" customWidth="1"/>
    <col min="6169" max="6169" width="11.42578125" style="238" customWidth="1"/>
    <col min="6170" max="6173" width="9.140625" style="238"/>
    <col min="6174" max="6174" width="9.85546875" style="238" bestFit="1" customWidth="1"/>
    <col min="6175" max="6176" width="9.140625" style="238"/>
    <col min="6177" max="6177" width="13" style="238" bestFit="1" customWidth="1"/>
    <col min="6178" max="6179" width="10.42578125" style="238" bestFit="1" customWidth="1"/>
    <col min="6180" max="6181" width="9.28515625" style="238" bestFit="1" customWidth="1"/>
    <col min="6182" max="6182" width="11.28515625" style="238" bestFit="1" customWidth="1"/>
    <col min="6183" max="6183" width="12" style="238" customWidth="1"/>
    <col min="6184" max="6184" width="13" style="238" customWidth="1"/>
    <col min="6185" max="6400" width="9.140625" style="238"/>
    <col min="6401" max="6401" width="1.42578125" style="238" customWidth="1"/>
    <col min="6402" max="6402" width="8.140625" style="238" customWidth="1"/>
    <col min="6403" max="6403" width="12.5703125" style="238" customWidth="1"/>
    <col min="6404" max="6404" width="5.5703125" style="238" customWidth="1"/>
    <col min="6405" max="6405" width="11.85546875" style="238" customWidth="1"/>
    <col min="6406" max="6407" width="13.28515625" style="238" customWidth="1"/>
    <col min="6408" max="6408" width="13.7109375" style="238" customWidth="1"/>
    <col min="6409" max="6409" width="13.5703125" style="238" customWidth="1"/>
    <col min="6410" max="6410" width="8.42578125" style="238" customWidth="1"/>
    <col min="6411" max="6411" width="5.28515625" style="238" customWidth="1"/>
    <col min="6412" max="6412" width="10.140625" style="238" customWidth="1"/>
    <col min="6413" max="6413" width="9.140625" style="238"/>
    <col min="6414" max="6414" width="8.7109375" style="238" customWidth="1"/>
    <col min="6415" max="6415" width="2" style="238" customWidth="1"/>
    <col min="6416" max="6416" width="11.42578125" style="238" customWidth="1"/>
    <col min="6417" max="6417" width="11.85546875" style="238" bestFit="1" customWidth="1"/>
    <col min="6418" max="6418" width="9.140625" style="238"/>
    <col min="6419" max="6419" width="10.7109375" style="238" customWidth="1"/>
    <col min="6420" max="6420" width="8.28515625" style="238" customWidth="1"/>
    <col min="6421" max="6421" width="7.42578125" style="238" customWidth="1"/>
    <col min="6422" max="6422" width="9.140625" style="238"/>
    <col min="6423" max="6423" width="12.7109375" style="238" bestFit="1" customWidth="1"/>
    <col min="6424" max="6424" width="11.7109375" style="238" bestFit="1" customWidth="1"/>
    <col min="6425" max="6425" width="11.42578125" style="238" customWidth="1"/>
    <col min="6426" max="6429" width="9.140625" style="238"/>
    <col min="6430" max="6430" width="9.85546875" style="238" bestFit="1" customWidth="1"/>
    <col min="6431" max="6432" width="9.140625" style="238"/>
    <col min="6433" max="6433" width="13" style="238" bestFit="1" customWidth="1"/>
    <col min="6434" max="6435" width="10.42578125" style="238" bestFit="1" customWidth="1"/>
    <col min="6436" max="6437" width="9.28515625" style="238" bestFit="1" customWidth="1"/>
    <col min="6438" max="6438" width="11.28515625" style="238" bestFit="1" customWidth="1"/>
    <col min="6439" max="6439" width="12" style="238" customWidth="1"/>
    <col min="6440" max="6440" width="13" style="238" customWidth="1"/>
    <col min="6441" max="6656" width="9.140625" style="238"/>
    <col min="6657" max="6657" width="1.42578125" style="238" customWidth="1"/>
    <col min="6658" max="6658" width="8.140625" style="238" customWidth="1"/>
    <col min="6659" max="6659" width="12.5703125" style="238" customWidth="1"/>
    <col min="6660" max="6660" width="5.5703125" style="238" customWidth="1"/>
    <col min="6661" max="6661" width="11.85546875" style="238" customWidth="1"/>
    <col min="6662" max="6663" width="13.28515625" style="238" customWidth="1"/>
    <col min="6664" max="6664" width="13.7109375" style="238" customWidth="1"/>
    <col min="6665" max="6665" width="13.5703125" style="238" customWidth="1"/>
    <col min="6666" max="6666" width="8.42578125" style="238" customWidth="1"/>
    <col min="6667" max="6667" width="5.28515625" style="238" customWidth="1"/>
    <col min="6668" max="6668" width="10.140625" style="238" customWidth="1"/>
    <col min="6669" max="6669" width="9.140625" style="238"/>
    <col min="6670" max="6670" width="8.7109375" style="238" customWidth="1"/>
    <col min="6671" max="6671" width="2" style="238" customWidth="1"/>
    <col min="6672" max="6672" width="11.42578125" style="238" customWidth="1"/>
    <col min="6673" max="6673" width="11.85546875" style="238" bestFit="1" customWidth="1"/>
    <col min="6674" max="6674" width="9.140625" style="238"/>
    <col min="6675" max="6675" width="10.7109375" style="238" customWidth="1"/>
    <col min="6676" max="6676" width="8.28515625" style="238" customWidth="1"/>
    <col min="6677" max="6677" width="7.42578125" style="238" customWidth="1"/>
    <col min="6678" max="6678" width="9.140625" style="238"/>
    <col min="6679" max="6679" width="12.7109375" style="238" bestFit="1" customWidth="1"/>
    <col min="6680" max="6680" width="11.7109375" style="238" bestFit="1" customWidth="1"/>
    <col min="6681" max="6681" width="11.42578125" style="238" customWidth="1"/>
    <col min="6682" max="6685" width="9.140625" style="238"/>
    <col min="6686" max="6686" width="9.85546875" style="238" bestFit="1" customWidth="1"/>
    <col min="6687" max="6688" width="9.140625" style="238"/>
    <col min="6689" max="6689" width="13" style="238" bestFit="1" customWidth="1"/>
    <col min="6690" max="6691" width="10.42578125" style="238" bestFit="1" customWidth="1"/>
    <col min="6692" max="6693" width="9.28515625" style="238" bestFit="1" customWidth="1"/>
    <col min="6694" max="6694" width="11.28515625" style="238" bestFit="1" customWidth="1"/>
    <col min="6695" max="6695" width="12" style="238" customWidth="1"/>
    <col min="6696" max="6696" width="13" style="238" customWidth="1"/>
    <col min="6697" max="6912" width="9.140625" style="238"/>
    <col min="6913" max="6913" width="1.42578125" style="238" customWidth="1"/>
    <col min="6914" max="6914" width="8.140625" style="238" customWidth="1"/>
    <col min="6915" max="6915" width="12.5703125" style="238" customWidth="1"/>
    <col min="6916" max="6916" width="5.5703125" style="238" customWidth="1"/>
    <col min="6917" max="6917" width="11.85546875" style="238" customWidth="1"/>
    <col min="6918" max="6919" width="13.28515625" style="238" customWidth="1"/>
    <col min="6920" max="6920" width="13.7109375" style="238" customWidth="1"/>
    <col min="6921" max="6921" width="13.5703125" style="238" customWidth="1"/>
    <col min="6922" max="6922" width="8.42578125" style="238" customWidth="1"/>
    <col min="6923" max="6923" width="5.28515625" style="238" customWidth="1"/>
    <col min="6924" max="6924" width="10.140625" style="238" customWidth="1"/>
    <col min="6925" max="6925" width="9.140625" style="238"/>
    <col min="6926" max="6926" width="8.7109375" style="238" customWidth="1"/>
    <col min="6927" max="6927" width="2" style="238" customWidth="1"/>
    <col min="6928" max="6928" width="11.42578125" style="238" customWidth="1"/>
    <col min="6929" max="6929" width="11.85546875" style="238" bestFit="1" customWidth="1"/>
    <col min="6930" max="6930" width="9.140625" style="238"/>
    <col min="6931" max="6931" width="10.7109375" style="238" customWidth="1"/>
    <col min="6932" max="6932" width="8.28515625" style="238" customWidth="1"/>
    <col min="6933" max="6933" width="7.42578125" style="238" customWidth="1"/>
    <col min="6934" max="6934" width="9.140625" style="238"/>
    <col min="6935" max="6935" width="12.7109375" style="238" bestFit="1" customWidth="1"/>
    <col min="6936" max="6936" width="11.7109375" style="238" bestFit="1" customWidth="1"/>
    <col min="6937" max="6937" width="11.42578125" style="238" customWidth="1"/>
    <col min="6938" max="6941" width="9.140625" style="238"/>
    <col min="6942" max="6942" width="9.85546875" style="238" bestFit="1" customWidth="1"/>
    <col min="6943" max="6944" width="9.140625" style="238"/>
    <col min="6945" max="6945" width="13" style="238" bestFit="1" customWidth="1"/>
    <col min="6946" max="6947" width="10.42578125" style="238" bestFit="1" customWidth="1"/>
    <col min="6948" max="6949" width="9.28515625" style="238" bestFit="1" customWidth="1"/>
    <col min="6950" max="6950" width="11.28515625" style="238" bestFit="1" customWidth="1"/>
    <col min="6951" max="6951" width="12" style="238" customWidth="1"/>
    <col min="6952" max="6952" width="13" style="238" customWidth="1"/>
    <col min="6953" max="7168" width="9.140625" style="238"/>
    <col min="7169" max="7169" width="1.42578125" style="238" customWidth="1"/>
    <col min="7170" max="7170" width="8.140625" style="238" customWidth="1"/>
    <col min="7171" max="7171" width="12.5703125" style="238" customWidth="1"/>
    <col min="7172" max="7172" width="5.5703125" style="238" customWidth="1"/>
    <col min="7173" max="7173" width="11.85546875" style="238" customWidth="1"/>
    <col min="7174" max="7175" width="13.28515625" style="238" customWidth="1"/>
    <col min="7176" max="7176" width="13.7109375" style="238" customWidth="1"/>
    <col min="7177" max="7177" width="13.5703125" style="238" customWidth="1"/>
    <col min="7178" max="7178" width="8.42578125" style="238" customWidth="1"/>
    <col min="7179" max="7179" width="5.28515625" style="238" customWidth="1"/>
    <col min="7180" max="7180" width="10.140625" style="238" customWidth="1"/>
    <col min="7181" max="7181" width="9.140625" style="238"/>
    <col min="7182" max="7182" width="8.7109375" style="238" customWidth="1"/>
    <col min="7183" max="7183" width="2" style="238" customWidth="1"/>
    <col min="7184" max="7184" width="11.42578125" style="238" customWidth="1"/>
    <col min="7185" max="7185" width="11.85546875" style="238" bestFit="1" customWidth="1"/>
    <col min="7186" max="7186" width="9.140625" style="238"/>
    <col min="7187" max="7187" width="10.7109375" style="238" customWidth="1"/>
    <col min="7188" max="7188" width="8.28515625" style="238" customWidth="1"/>
    <col min="7189" max="7189" width="7.42578125" style="238" customWidth="1"/>
    <col min="7190" max="7190" width="9.140625" style="238"/>
    <col min="7191" max="7191" width="12.7109375" style="238" bestFit="1" customWidth="1"/>
    <col min="7192" max="7192" width="11.7109375" style="238" bestFit="1" customWidth="1"/>
    <col min="7193" max="7193" width="11.42578125" style="238" customWidth="1"/>
    <col min="7194" max="7197" width="9.140625" style="238"/>
    <col min="7198" max="7198" width="9.85546875" style="238" bestFit="1" customWidth="1"/>
    <col min="7199" max="7200" width="9.140625" style="238"/>
    <col min="7201" max="7201" width="13" style="238" bestFit="1" customWidth="1"/>
    <col min="7202" max="7203" width="10.42578125" style="238" bestFit="1" customWidth="1"/>
    <col min="7204" max="7205" width="9.28515625" style="238" bestFit="1" customWidth="1"/>
    <col min="7206" max="7206" width="11.28515625" style="238" bestFit="1" customWidth="1"/>
    <col min="7207" max="7207" width="12" style="238" customWidth="1"/>
    <col min="7208" max="7208" width="13" style="238" customWidth="1"/>
    <col min="7209" max="7424" width="9.140625" style="238"/>
    <col min="7425" max="7425" width="1.42578125" style="238" customWidth="1"/>
    <col min="7426" max="7426" width="8.140625" style="238" customWidth="1"/>
    <col min="7427" max="7427" width="12.5703125" style="238" customWidth="1"/>
    <col min="7428" max="7428" width="5.5703125" style="238" customWidth="1"/>
    <col min="7429" max="7429" width="11.85546875" style="238" customWidth="1"/>
    <col min="7430" max="7431" width="13.28515625" style="238" customWidth="1"/>
    <col min="7432" max="7432" width="13.7109375" style="238" customWidth="1"/>
    <col min="7433" max="7433" width="13.5703125" style="238" customWidth="1"/>
    <col min="7434" max="7434" width="8.42578125" style="238" customWidth="1"/>
    <col min="7435" max="7435" width="5.28515625" style="238" customWidth="1"/>
    <col min="7436" max="7436" width="10.140625" style="238" customWidth="1"/>
    <col min="7437" max="7437" width="9.140625" style="238"/>
    <col min="7438" max="7438" width="8.7109375" style="238" customWidth="1"/>
    <col min="7439" max="7439" width="2" style="238" customWidth="1"/>
    <col min="7440" max="7440" width="11.42578125" style="238" customWidth="1"/>
    <col min="7441" max="7441" width="11.85546875" style="238" bestFit="1" customWidth="1"/>
    <col min="7442" max="7442" width="9.140625" style="238"/>
    <col min="7443" max="7443" width="10.7109375" style="238" customWidth="1"/>
    <col min="7444" max="7444" width="8.28515625" style="238" customWidth="1"/>
    <col min="7445" max="7445" width="7.42578125" style="238" customWidth="1"/>
    <col min="7446" max="7446" width="9.140625" style="238"/>
    <col min="7447" max="7447" width="12.7109375" style="238" bestFit="1" customWidth="1"/>
    <col min="7448" max="7448" width="11.7109375" style="238" bestFit="1" customWidth="1"/>
    <col min="7449" max="7449" width="11.42578125" style="238" customWidth="1"/>
    <col min="7450" max="7453" width="9.140625" style="238"/>
    <col min="7454" max="7454" width="9.85546875" style="238" bestFit="1" customWidth="1"/>
    <col min="7455" max="7456" width="9.140625" style="238"/>
    <col min="7457" max="7457" width="13" style="238" bestFit="1" customWidth="1"/>
    <col min="7458" max="7459" width="10.42578125" style="238" bestFit="1" customWidth="1"/>
    <col min="7460" max="7461" width="9.28515625" style="238" bestFit="1" customWidth="1"/>
    <col min="7462" max="7462" width="11.28515625" style="238" bestFit="1" customWidth="1"/>
    <col min="7463" max="7463" width="12" style="238" customWidth="1"/>
    <col min="7464" max="7464" width="13" style="238" customWidth="1"/>
    <col min="7465" max="7680" width="9.140625" style="238"/>
    <col min="7681" max="7681" width="1.42578125" style="238" customWidth="1"/>
    <col min="7682" max="7682" width="8.140625" style="238" customWidth="1"/>
    <col min="7683" max="7683" width="12.5703125" style="238" customWidth="1"/>
    <col min="7684" max="7684" width="5.5703125" style="238" customWidth="1"/>
    <col min="7685" max="7685" width="11.85546875" style="238" customWidth="1"/>
    <col min="7686" max="7687" width="13.28515625" style="238" customWidth="1"/>
    <col min="7688" max="7688" width="13.7109375" style="238" customWidth="1"/>
    <col min="7689" max="7689" width="13.5703125" style="238" customWidth="1"/>
    <col min="7690" max="7690" width="8.42578125" style="238" customWidth="1"/>
    <col min="7691" max="7691" width="5.28515625" style="238" customWidth="1"/>
    <col min="7692" max="7692" width="10.140625" style="238" customWidth="1"/>
    <col min="7693" max="7693" width="9.140625" style="238"/>
    <col min="7694" max="7694" width="8.7109375" style="238" customWidth="1"/>
    <col min="7695" max="7695" width="2" style="238" customWidth="1"/>
    <col min="7696" max="7696" width="11.42578125" style="238" customWidth="1"/>
    <col min="7697" max="7697" width="11.85546875" style="238" bestFit="1" customWidth="1"/>
    <col min="7698" max="7698" width="9.140625" style="238"/>
    <col min="7699" max="7699" width="10.7109375" style="238" customWidth="1"/>
    <col min="7700" max="7700" width="8.28515625" style="238" customWidth="1"/>
    <col min="7701" max="7701" width="7.42578125" style="238" customWidth="1"/>
    <col min="7702" max="7702" width="9.140625" style="238"/>
    <col min="7703" max="7703" width="12.7109375" style="238" bestFit="1" customWidth="1"/>
    <col min="7704" max="7704" width="11.7109375" style="238" bestFit="1" customWidth="1"/>
    <col min="7705" max="7705" width="11.42578125" style="238" customWidth="1"/>
    <col min="7706" max="7709" width="9.140625" style="238"/>
    <col min="7710" max="7710" width="9.85546875" style="238" bestFit="1" customWidth="1"/>
    <col min="7711" max="7712" width="9.140625" style="238"/>
    <col min="7713" max="7713" width="13" style="238" bestFit="1" customWidth="1"/>
    <col min="7714" max="7715" width="10.42578125" style="238" bestFit="1" customWidth="1"/>
    <col min="7716" max="7717" width="9.28515625" style="238" bestFit="1" customWidth="1"/>
    <col min="7718" max="7718" width="11.28515625" style="238" bestFit="1" customWidth="1"/>
    <col min="7719" max="7719" width="12" style="238" customWidth="1"/>
    <col min="7720" max="7720" width="13" style="238" customWidth="1"/>
    <col min="7721" max="7936" width="9.140625" style="238"/>
    <col min="7937" max="7937" width="1.42578125" style="238" customWidth="1"/>
    <col min="7938" max="7938" width="8.140625" style="238" customWidth="1"/>
    <col min="7939" max="7939" width="12.5703125" style="238" customWidth="1"/>
    <col min="7940" max="7940" width="5.5703125" style="238" customWidth="1"/>
    <col min="7941" max="7941" width="11.85546875" style="238" customWidth="1"/>
    <col min="7942" max="7943" width="13.28515625" style="238" customWidth="1"/>
    <col min="7944" max="7944" width="13.7109375" style="238" customWidth="1"/>
    <col min="7945" max="7945" width="13.5703125" style="238" customWidth="1"/>
    <col min="7946" max="7946" width="8.42578125" style="238" customWidth="1"/>
    <col min="7947" max="7947" width="5.28515625" style="238" customWidth="1"/>
    <col min="7948" max="7948" width="10.140625" style="238" customWidth="1"/>
    <col min="7949" max="7949" width="9.140625" style="238"/>
    <col min="7950" max="7950" width="8.7109375" style="238" customWidth="1"/>
    <col min="7951" max="7951" width="2" style="238" customWidth="1"/>
    <col min="7952" max="7952" width="11.42578125" style="238" customWidth="1"/>
    <col min="7953" max="7953" width="11.85546875" style="238" bestFit="1" customWidth="1"/>
    <col min="7954" max="7954" width="9.140625" style="238"/>
    <col min="7955" max="7955" width="10.7109375" style="238" customWidth="1"/>
    <col min="7956" max="7956" width="8.28515625" style="238" customWidth="1"/>
    <col min="7957" max="7957" width="7.42578125" style="238" customWidth="1"/>
    <col min="7958" max="7958" width="9.140625" style="238"/>
    <col min="7959" max="7959" width="12.7109375" style="238" bestFit="1" customWidth="1"/>
    <col min="7960" max="7960" width="11.7109375" style="238" bestFit="1" customWidth="1"/>
    <col min="7961" max="7961" width="11.42578125" style="238" customWidth="1"/>
    <col min="7962" max="7965" width="9.140625" style="238"/>
    <col min="7966" max="7966" width="9.85546875" style="238" bestFit="1" customWidth="1"/>
    <col min="7967" max="7968" width="9.140625" style="238"/>
    <col min="7969" max="7969" width="13" style="238" bestFit="1" customWidth="1"/>
    <col min="7970" max="7971" width="10.42578125" style="238" bestFit="1" customWidth="1"/>
    <col min="7972" max="7973" width="9.28515625" style="238" bestFit="1" customWidth="1"/>
    <col min="7974" max="7974" width="11.28515625" style="238" bestFit="1" customWidth="1"/>
    <col min="7975" max="7975" width="12" style="238" customWidth="1"/>
    <col min="7976" max="7976" width="13" style="238" customWidth="1"/>
    <col min="7977" max="8192" width="9.140625" style="238"/>
    <col min="8193" max="8193" width="1.42578125" style="238" customWidth="1"/>
    <col min="8194" max="8194" width="8.140625" style="238" customWidth="1"/>
    <col min="8195" max="8195" width="12.5703125" style="238" customWidth="1"/>
    <col min="8196" max="8196" width="5.5703125" style="238" customWidth="1"/>
    <col min="8197" max="8197" width="11.85546875" style="238" customWidth="1"/>
    <col min="8198" max="8199" width="13.28515625" style="238" customWidth="1"/>
    <col min="8200" max="8200" width="13.7109375" style="238" customWidth="1"/>
    <col min="8201" max="8201" width="13.5703125" style="238" customWidth="1"/>
    <col min="8202" max="8202" width="8.42578125" style="238" customWidth="1"/>
    <col min="8203" max="8203" width="5.28515625" style="238" customWidth="1"/>
    <col min="8204" max="8204" width="10.140625" style="238" customWidth="1"/>
    <col min="8205" max="8205" width="9.140625" style="238"/>
    <col min="8206" max="8206" width="8.7109375" style="238" customWidth="1"/>
    <col min="8207" max="8207" width="2" style="238" customWidth="1"/>
    <col min="8208" max="8208" width="11.42578125" style="238" customWidth="1"/>
    <col min="8209" max="8209" width="11.85546875" style="238" bestFit="1" customWidth="1"/>
    <col min="8210" max="8210" width="9.140625" style="238"/>
    <col min="8211" max="8211" width="10.7109375" style="238" customWidth="1"/>
    <col min="8212" max="8212" width="8.28515625" style="238" customWidth="1"/>
    <col min="8213" max="8213" width="7.42578125" style="238" customWidth="1"/>
    <col min="8214" max="8214" width="9.140625" style="238"/>
    <col min="8215" max="8215" width="12.7109375" style="238" bestFit="1" customWidth="1"/>
    <col min="8216" max="8216" width="11.7109375" style="238" bestFit="1" customWidth="1"/>
    <col min="8217" max="8217" width="11.42578125" style="238" customWidth="1"/>
    <col min="8218" max="8221" width="9.140625" style="238"/>
    <col min="8222" max="8222" width="9.85546875" style="238" bestFit="1" customWidth="1"/>
    <col min="8223" max="8224" width="9.140625" style="238"/>
    <col min="8225" max="8225" width="13" style="238" bestFit="1" customWidth="1"/>
    <col min="8226" max="8227" width="10.42578125" style="238" bestFit="1" customWidth="1"/>
    <col min="8228" max="8229" width="9.28515625" style="238" bestFit="1" customWidth="1"/>
    <col min="8230" max="8230" width="11.28515625" style="238" bestFit="1" customWidth="1"/>
    <col min="8231" max="8231" width="12" style="238" customWidth="1"/>
    <col min="8232" max="8232" width="13" style="238" customWidth="1"/>
    <col min="8233" max="8448" width="9.140625" style="238"/>
    <col min="8449" max="8449" width="1.42578125" style="238" customWidth="1"/>
    <col min="8450" max="8450" width="8.140625" style="238" customWidth="1"/>
    <col min="8451" max="8451" width="12.5703125" style="238" customWidth="1"/>
    <col min="8452" max="8452" width="5.5703125" style="238" customWidth="1"/>
    <col min="8453" max="8453" width="11.85546875" style="238" customWidth="1"/>
    <col min="8454" max="8455" width="13.28515625" style="238" customWidth="1"/>
    <col min="8456" max="8456" width="13.7109375" style="238" customWidth="1"/>
    <col min="8457" max="8457" width="13.5703125" style="238" customWidth="1"/>
    <col min="8458" max="8458" width="8.42578125" style="238" customWidth="1"/>
    <col min="8459" max="8459" width="5.28515625" style="238" customWidth="1"/>
    <col min="8460" max="8460" width="10.140625" style="238" customWidth="1"/>
    <col min="8461" max="8461" width="9.140625" style="238"/>
    <col min="8462" max="8462" width="8.7109375" style="238" customWidth="1"/>
    <col min="8463" max="8463" width="2" style="238" customWidth="1"/>
    <col min="8464" max="8464" width="11.42578125" style="238" customWidth="1"/>
    <col min="8465" max="8465" width="11.85546875" style="238" bestFit="1" customWidth="1"/>
    <col min="8466" max="8466" width="9.140625" style="238"/>
    <col min="8467" max="8467" width="10.7109375" style="238" customWidth="1"/>
    <col min="8468" max="8468" width="8.28515625" style="238" customWidth="1"/>
    <col min="8469" max="8469" width="7.42578125" style="238" customWidth="1"/>
    <col min="8470" max="8470" width="9.140625" style="238"/>
    <col min="8471" max="8471" width="12.7109375" style="238" bestFit="1" customWidth="1"/>
    <col min="8472" max="8472" width="11.7109375" style="238" bestFit="1" customWidth="1"/>
    <col min="8473" max="8473" width="11.42578125" style="238" customWidth="1"/>
    <col min="8474" max="8477" width="9.140625" style="238"/>
    <col min="8478" max="8478" width="9.85546875" style="238" bestFit="1" customWidth="1"/>
    <col min="8479" max="8480" width="9.140625" style="238"/>
    <col min="8481" max="8481" width="13" style="238" bestFit="1" customWidth="1"/>
    <col min="8482" max="8483" width="10.42578125" style="238" bestFit="1" customWidth="1"/>
    <col min="8484" max="8485" width="9.28515625" style="238" bestFit="1" customWidth="1"/>
    <col min="8486" max="8486" width="11.28515625" style="238" bestFit="1" customWidth="1"/>
    <col min="8487" max="8487" width="12" style="238" customWidth="1"/>
    <col min="8488" max="8488" width="13" style="238" customWidth="1"/>
    <col min="8489" max="8704" width="9.140625" style="238"/>
    <col min="8705" max="8705" width="1.42578125" style="238" customWidth="1"/>
    <col min="8706" max="8706" width="8.140625" style="238" customWidth="1"/>
    <col min="8707" max="8707" width="12.5703125" style="238" customWidth="1"/>
    <col min="8708" max="8708" width="5.5703125" style="238" customWidth="1"/>
    <col min="8709" max="8709" width="11.85546875" style="238" customWidth="1"/>
    <col min="8710" max="8711" width="13.28515625" style="238" customWidth="1"/>
    <col min="8712" max="8712" width="13.7109375" style="238" customWidth="1"/>
    <col min="8713" max="8713" width="13.5703125" style="238" customWidth="1"/>
    <col min="8714" max="8714" width="8.42578125" style="238" customWidth="1"/>
    <col min="8715" max="8715" width="5.28515625" style="238" customWidth="1"/>
    <col min="8716" max="8716" width="10.140625" style="238" customWidth="1"/>
    <col min="8717" max="8717" width="9.140625" style="238"/>
    <col min="8718" max="8718" width="8.7109375" style="238" customWidth="1"/>
    <col min="8719" max="8719" width="2" style="238" customWidth="1"/>
    <col min="8720" max="8720" width="11.42578125" style="238" customWidth="1"/>
    <col min="8721" max="8721" width="11.85546875" style="238" bestFit="1" customWidth="1"/>
    <col min="8722" max="8722" width="9.140625" style="238"/>
    <col min="8723" max="8723" width="10.7109375" style="238" customWidth="1"/>
    <col min="8724" max="8724" width="8.28515625" style="238" customWidth="1"/>
    <col min="8725" max="8725" width="7.42578125" style="238" customWidth="1"/>
    <col min="8726" max="8726" width="9.140625" style="238"/>
    <col min="8727" max="8727" width="12.7109375" style="238" bestFit="1" customWidth="1"/>
    <col min="8728" max="8728" width="11.7109375" style="238" bestFit="1" customWidth="1"/>
    <col min="8729" max="8729" width="11.42578125" style="238" customWidth="1"/>
    <col min="8730" max="8733" width="9.140625" style="238"/>
    <col min="8734" max="8734" width="9.85546875" style="238" bestFit="1" customWidth="1"/>
    <col min="8735" max="8736" width="9.140625" style="238"/>
    <col min="8737" max="8737" width="13" style="238" bestFit="1" customWidth="1"/>
    <col min="8738" max="8739" width="10.42578125" style="238" bestFit="1" customWidth="1"/>
    <col min="8740" max="8741" width="9.28515625" style="238" bestFit="1" customWidth="1"/>
    <col min="8742" max="8742" width="11.28515625" style="238" bestFit="1" customWidth="1"/>
    <col min="8743" max="8743" width="12" style="238" customWidth="1"/>
    <col min="8744" max="8744" width="13" style="238" customWidth="1"/>
    <col min="8745" max="8960" width="9.140625" style="238"/>
    <col min="8961" max="8961" width="1.42578125" style="238" customWidth="1"/>
    <col min="8962" max="8962" width="8.140625" style="238" customWidth="1"/>
    <col min="8963" max="8963" width="12.5703125" style="238" customWidth="1"/>
    <col min="8964" max="8964" width="5.5703125" style="238" customWidth="1"/>
    <col min="8965" max="8965" width="11.85546875" style="238" customWidth="1"/>
    <col min="8966" max="8967" width="13.28515625" style="238" customWidth="1"/>
    <col min="8968" max="8968" width="13.7109375" style="238" customWidth="1"/>
    <col min="8969" max="8969" width="13.5703125" style="238" customWidth="1"/>
    <col min="8970" max="8970" width="8.42578125" style="238" customWidth="1"/>
    <col min="8971" max="8971" width="5.28515625" style="238" customWidth="1"/>
    <col min="8972" max="8972" width="10.140625" style="238" customWidth="1"/>
    <col min="8973" max="8973" width="9.140625" style="238"/>
    <col min="8974" max="8974" width="8.7109375" style="238" customWidth="1"/>
    <col min="8975" max="8975" width="2" style="238" customWidth="1"/>
    <col min="8976" max="8976" width="11.42578125" style="238" customWidth="1"/>
    <col min="8977" max="8977" width="11.85546875" style="238" bestFit="1" customWidth="1"/>
    <col min="8978" max="8978" width="9.140625" style="238"/>
    <col min="8979" max="8979" width="10.7109375" style="238" customWidth="1"/>
    <col min="8980" max="8980" width="8.28515625" style="238" customWidth="1"/>
    <col min="8981" max="8981" width="7.42578125" style="238" customWidth="1"/>
    <col min="8982" max="8982" width="9.140625" style="238"/>
    <col min="8983" max="8983" width="12.7109375" style="238" bestFit="1" customWidth="1"/>
    <col min="8984" max="8984" width="11.7109375" style="238" bestFit="1" customWidth="1"/>
    <col min="8985" max="8985" width="11.42578125" style="238" customWidth="1"/>
    <col min="8986" max="8989" width="9.140625" style="238"/>
    <col min="8990" max="8990" width="9.85546875" style="238" bestFit="1" customWidth="1"/>
    <col min="8991" max="8992" width="9.140625" style="238"/>
    <col min="8993" max="8993" width="13" style="238" bestFit="1" customWidth="1"/>
    <col min="8994" max="8995" width="10.42578125" style="238" bestFit="1" customWidth="1"/>
    <col min="8996" max="8997" width="9.28515625" style="238" bestFit="1" customWidth="1"/>
    <col min="8998" max="8998" width="11.28515625" style="238" bestFit="1" customWidth="1"/>
    <col min="8999" max="8999" width="12" style="238" customWidth="1"/>
    <col min="9000" max="9000" width="13" style="238" customWidth="1"/>
    <col min="9001" max="9216" width="9.140625" style="238"/>
    <col min="9217" max="9217" width="1.42578125" style="238" customWidth="1"/>
    <col min="9218" max="9218" width="8.140625" style="238" customWidth="1"/>
    <col min="9219" max="9219" width="12.5703125" style="238" customWidth="1"/>
    <col min="9220" max="9220" width="5.5703125" style="238" customWidth="1"/>
    <col min="9221" max="9221" width="11.85546875" style="238" customWidth="1"/>
    <col min="9222" max="9223" width="13.28515625" style="238" customWidth="1"/>
    <col min="9224" max="9224" width="13.7109375" style="238" customWidth="1"/>
    <col min="9225" max="9225" width="13.5703125" style="238" customWidth="1"/>
    <col min="9226" max="9226" width="8.42578125" style="238" customWidth="1"/>
    <col min="9227" max="9227" width="5.28515625" style="238" customWidth="1"/>
    <col min="9228" max="9228" width="10.140625" style="238" customWidth="1"/>
    <col min="9229" max="9229" width="9.140625" style="238"/>
    <col min="9230" max="9230" width="8.7109375" style="238" customWidth="1"/>
    <col min="9231" max="9231" width="2" style="238" customWidth="1"/>
    <col min="9232" max="9232" width="11.42578125" style="238" customWidth="1"/>
    <col min="9233" max="9233" width="11.85546875" style="238" bestFit="1" customWidth="1"/>
    <col min="9234" max="9234" width="9.140625" style="238"/>
    <col min="9235" max="9235" width="10.7109375" style="238" customWidth="1"/>
    <col min="9236" max="9236" width="8.28515625" style="238" customWidth="1"/>
    <col min="9237" max="9237" width="7.42578125" style="238" customWidth="1"/>
    <col min="9238" max="9238" width="9.140625" style="238"/>
    <col min="9239" max="9239" width="12.7109375" style="238" bestFit="1" customWidth="1"/>
    <col min="9240" max="9240" width="11.7109375" style="238" bestFit="1" customWidth="1"/>
    <col min="9241" max="9241" width="11.42578125" style="238" customWidth="1"/>
    <col min="9242" max="9245" width="9.140625" style="238"/>
    <col min="9246" max="9246" width="9.85546875" style="238" bestFit="1" customWidth="1"/>
    <col min="9247" max="9248" width="9.140625" style="238"/>
    <col min="9249" max="9249" width="13" style="238" bestFit="1" customWidth="1"/>
    <col min="9250" max="9251" width="10.42578125" style="238" bestFit="1" customWidth="1"/>
    <col min="9252" max="9253" width="9.28515625" style="238" bestFit="1" customWidth="1"/>
    <col min="9254" max="9254" width="11.28515625" style="238" bestFit="1" customWidth="1"/>
    <col min="9255" max="9255" width="12" style="238" customWidth="1"/>
    <col min="9256" max="9256" width="13" style="238" customWidth="1"/>
    <col min="9257" max="9472" width="9.140625" style="238"/>
    <col min="9473" max="9473" width="1.42578125" style="238" customWidth="1"/>
    <col min="9474" max="9474" width="8.140625" style="238" customWidth="1"/>
    <col min="9475" max="9475" width="12.5703125" style="238" customWidth="1"/>
    <col min="9476" max="9476" width="5.5703125" style="238" customWidth="1"/>
    <col min="9477" max="9477" width="11.85546875" style="238" customWidth="1"/>
    <col min="9478" max="9479" width="13.28515625" style="238" customWidth="1"/>
    <col min="9480" max="9480" width="13.7109375" style="238" customWidth="1"/>
    <col min="9481" max="9481" width="13.5703125" style="238" customWidth="1"/>
    <col min="9482" max="9482" width="8.42578125" style="238" customWidth="1"/>
    <col min="9483" max="9483" width="5.28515625" style="238" customWidth="1"/>
    <col min="9484" max="9484" width="10.140625" style="238" customWidth="1"/>
    <col min="9485" max="9485" width="9.140625" style="238"/>
    <col min="9486" max="9486" width="8.7109375" style="238" customWidth="1"/>
    <col min="9487" max="9487" width="2" style="238" customWidth="1"/>
    <col min="9488" max="9488" width="11.42578125" style="238" customWidth="1"/>
    <col min="9489" max="9489" width="11.85546875" style="238" bestFit="1" customWidth="1"/>
    <col min="9490" max="9490" width="9.140625" style="238"/>
    <col min="9491" max="9491" width="10.7109375" style="238" customWidth="1"/>
    <col min="9492" max="9492" width="8.28515625" style="238" customWidth="1"/>
    <col min="9493" max="9493" width="7.42578125" style="238" customWidth="1"/>
    <col min="9494" max="9494" width="9.140625" style="238"/>
    <col min="9495" max="9495" width="12.7109375" style="238" bestFit="1" customWidth="1"/>
    <col min="9496" max="9496" width="11.7109375" style="238" bestFit="1" customWidth="1"/>
    <col min="9497" max="9497" width="11.42578125" style="238" customWidth="1"/>
    <col min="9498" max="9501" width="9.140625" style="238"/>
    <col min="9502" max="9502" width="9.85546875" style="238" bestFit="1" customWidth="1"/>
    <col min="9503" max="9504" width="9.140625" style="238"/>
    <col min="9505" max="9505" width="13" style="238" bestFit="1" customWidth="1"/>
    <col min="9506" max="9507" width="10.42578125" style="238" bestFit="1" customWidth="1"/>
    <col min="9508" max="9509" width="9.28515625" style="238" bestFit="1" customWidth="1"/>
    <col min="9510" max="9510" width="11.28515625" style="238" bestFit="1" customWidth="1"/>
    <col min="9511" max="9511" width="12" style="238" customWidth="1"/>
    <col min="9512" max="9512" width="13" style="238" customWidth="1"/>
    <col min="9513" max="9728" width="9.140625" style="238"/>
    <col min="9729" max="9729" width="1.42578125" style="238" customWidth="1"/>
    <col min="9730" max="9730" width="8.140625" style="238" customWidth="1"/>
    <col min="9731" max="9731" width="12.5703125" style="238" customWidth="1"/>
    <col min="9732" max="9732" width="5.5703125" style="238" customWidth="1"/>
    <col min="9733" max="9733" width="11.85546875" style="238" customWidth="1"/>
    <col min="9734" max="9735" width="13.28515625" style="238" customWidth="1"/>
    <col min="9736" max="9736" width="13.7109375" style="238" customWidth="1"/>
    <col min="9737" max="9737" width="13.5703125" style="238" customWidth="1"/>
    <col min="9738" max="9738" width="8.42578125" style="238" customWidth="1"/>
    <col min="9739" max="9739" width="5.28515625" style="238" customWidth="1"/>
    <col min="9740" max="9740" width="10.140625" style="238" customWidth="1"/>
    <col min="9741" max="9741" width="9.140625" style="238"/>
    <col min="9742" max="9742" width="8.7109375" style="238" customWidth="1"/>
    <col min="9743" max="9743" width="2" style="238" customWidth="1"/>
    <col min="9744" max="9744" width="11.42578125" style="238" customWidth="1"/>
    <col min="9745" max="9745" width="11.85546875" style="238" bestFit="1" customWidth="1"/>
    <col min="9746" max="9746" width="9.140625" style="238"/>
    <col min="9747" max="9747" width="10.7109375" style="238" customWidth="1"/>
    <col min="9748" max="9748" width="8.28515625" style="238" customWidth="1"/>
    <col min="9749" max="9749" width="7.42578125" style="238" customWidth="1"/>
    <col min="9750" max="9750" width="9.140625" style="238"/>
    <col min="9751" max="9751" width="12.7109375" style="238" bestFit="1" customWidth="1"/>
    <col min="9752" max="9752" width="11.7109375" style="238" bestFit="1" customWidth="1"/>
    <col min="9753" max="9753" width="11.42578125" style="238" customWidth="1"/>
    <col min="9754" max="9757" width="9.140625" style="238"/>
    <col min="9758" max="9758" width="9.85546875" style="238" bestFit="1" customWidth="1"/>
    <col min="9759" max="9760" width="9.140625" style="238"/>
    <col min="9761" max="9761" width="13" style="238" bestFit="1" customWidth="1"/>
    <col min="9762" max="9763" width="10.42578125" style="238" bestFit="1" customWidth="1"/>
    <col min="9764" max="9765" width="9.28515625" style="238" bestFit="1" customWidth="1"/>
    <col min="9766" max="9766" width="11.28515625" style="238" bestFit="1" customWidth="1"/>
    <col min="9767" max="9767" width="12" style="238" customWidth="1"/>
    <col min="9768" max="9768" width="13" style="238" customWidth="1"/>
    <col min="9769" max="9984" width="9.140625" style="238"/>
    <col min="9985" max="9985" width="1.42578125" style="238" customWidth="1"/>
    <col min="9986" max="9986" width="8.140625" style="238" customWidth="1"/>
    <col min="9987" max="9987" width="12.5703125" style="238" customWidth="1"/>
    <col min="9988" max="9988" width="5.5703125" style="238" customWidth="1"/>
    <col min="9989" max="9989" width="11.85546875" style="238" customWidth="1"/>
    <col min="9990" max="9991" width="13.28515625" style="238" customWidth="1"/>
    <col min="9992" max="9992" width="13.7109375" style="238" customWidth="1"/>
    <col min="9993" max="9993" width="13.5703125" style="238" customWidth="1"/>
    <col min="9994" max="9994" width="8.42578125" style="238" customWidth="1"/>
    <col min="9995" max="9995" width="5.28515625" style="238" customWidth="1"/>
    <col min="9996" max="9996" width="10.140625" style="238" customWidth="1"/>
    <col min="9997" max="9997" width="9.140625" style="238"/>
    <col min="9998" max="9998" width="8.7109375" style="238" customWidth="1"/>
    <col min="9999" max="9999" width="2" style="238" customWidth="1"/>
    <col min="10000" max="10000" width="11.42578125" style="238" customWidth="1"/>
    <col min="10001" max="10001" width="11.85546875" style="238" bestFit="1" customWidth="1"/>
    <col min="10002" max="10002" width="9.140625" style="238"/>
    <col min="10003" max="10003" width="10.7109375" style="238" customWidth="1"/>
    <col min="10004" max="10004" width="8.28515625" style="238" customWidth="1"/>
    <col min="10005" max="10005" width="7.42578125" style="238" customWidth="1"/>
    <col min="10006" max="10006" width="9.140625" style="238"/>
    <col min="10007" max="10007" width="12.7109375" style="238" bestFit="1" customWidth="1"/>
    <col min="10008" max="10008" width="11.7109375" style="238" bestFit="1" customWidth="1"/>
    <col min="10009" max="10009" width="11.42578125" style="238" customWidth="1"/>
    <col min="10010" max="10013" width="9.140625" style="238"/>
    <col min="10014" max="10014" width="9.85546875" style="238" bestFit="1" customWidth="1"/>
    <col min="10015" max="10016" width="9.140625" style="238"/>
    <col min="10017" max="10017" width="13" style="238" bestFit="1" customWidth="1"/>
    <col min="10018" max="10019" width="10.42578125" style="238" bestFit="1" customWidth="1"/>
    <col min="10020" max="10021" width="9.28515625" style="238" bestFit="1" customWidth="1"/>
    <col min="10022" max="10022" width="11.28515625" style="238" bestFit="1" customWidth="1"/>
    <col min="10023" max="10023" width="12" style="238" customWidth="1"/>
    <col min="10024" max="10024" width="13" style="238" customWidth="1"/>
    <col min="10025" max="10240" width="9.140625" style="238"/>
    <col min="10241" max="10241" width="1.42578125" style="238" customWidth="1"/>
    <col min="10242" max="10242" width="8.140625" style="238" customWidth="1"/>
    <col min="10243" max="10243" width="12.5703125" style="238" customWidth="1"/>
    <col min="10244" max="10244" width="5.5703125" style="238" customWidth="1"/>
    <col min="10245" max="10245" width="11.85546875" style="238" customWidth="1"/>
    <col min="10246" max="10247" width="13.28515625" style="238" customWidth="1"/>
    <col min="10248" max="10248" width="13.7109375" style="238" customWidth="1"/>
    <col min="10249" max="10249" width="13.5703125" style="238" customWidth="1"/>
    <col min="10250" max="10250" width="8.42578125" style="238" customWidth="1"/>
    <col min="10251" max="10251" width="5.28515625" style="238" customWidth="1"/>
    <col min="10252" max="10252" width="10.140625" style="238" customWidth="1"/>
    <col min="10253" max="10253" width="9.140625" style="238"/>
    <col min="10254" max="10254" width="8.7109375" style="238" customWidth="1"/>
    <col min="10255" max="10255" width="2" style="238" customWidth="1"/>
    <col min="10256" max="10256" width="11.42578125" style="238" customWidth="1"/>
    <col min="10257" max="10257" width="11.85546875" style="238" bestFit="1" customWidth="1"/>
    <col min="10258" max="10258" width="9.140625" style="238"/>
    <col min="10259" max="10259" width="10.7109375" style="238" customWidth="1"/>
    <col min="10260" max="10260" width="8.28515625" style="238" customWidth="1"/>
    <col min="10261" max="10261" width="7.42578125" style="238" customWidth="1"/>
    <col min="10262" max="10262" width="9.140625" style="238"/>
    <col min="10263" max="10263" width="12.7109375" style="238" bestFit="1" customWidth="1"/>
    <col min="10264" max="10264" width="11.7109375" style="238" bestFit="1" customWidth="1"/>
    <col min="10265" max="10265" width="11.42578125" style="238" customWidth="1"/>
    <col min="10266" max="10269" width="9.140625" style="238"/>
    <col min="10270" max="10270" width="9.85546875" style="238" bestFit="1" customWidth="1"/>
    <col min="10271" max="10272" width="9.140625" style="238"/>
    <col min="10273" max="10273" width="13" style="238" bestFit="1" customWidth="1"/>
    <col min="10274" max="10275" width="10.42578125" style="238" bestFit="1" customWidth="1"/>
    <col min="10276" max="10277" width="9.28515625" style="238" bestFit="1" customWidth="1"/>
    <col min="10278" max="10278" width="11.28515625" style="238" bestFit="1" customWidth="1"/>
    <col min="10279" max="10279" width="12" style="238" customWidth="1"/>
    <col min="10280" max="10280" width="13" style="238" customWidth="1"/>
    <col min="10281" max="10496" width="9.140625" style="238"/>
    <col min="10497" max="10497" width="1.42578125" style="238" customWidth="1"/>
    <col min="10498" max="10498" width="8.140625" style="238" customWidth="1"/>
    <col min="10499" max="10499" width="12.5703125" style="238" customWidth="1"/>
    <col min="10500" max="10500" width="5.5703125" style="238" customWidth="1"/>
    <col min="10501" max="10501" width="11.85546875" style="238" customWidth="1"/>
    <col min="10502" max="10503" width="13.28515625" style="238" customWidth="1"/>
    <col min="10504" max="10504" width="13.7109375" style="238" customWidth="1"/>
    <col min="10505" max="10505" width="13.5703125" style="238" customWidth="1"/>
    <col min="10506" max="10506" width="8.42578125" style="238" customWidth="1"/>
    <col min="10507" max="10507" width="5.28515625" style="238" customWidth="1"/>
    <col min="10508" max="10508" width="10.140625" style="238" customWidth="1"/>
    <col min="10509" max="10509" width="9.140625" style="238"/>
    <col min="10510" max="10510" width="8.7109375" style="238" customWidth="1"/>
    <col min="10511" max="10511" width="2" style="238" customWidth="1"/>
    <col min="10512" max="10512" width="11.42578125" style="238" customWidth="1"/>
    <col min="10513" max="10513" width="11.85546875" style="238" bestFit="1" customWidth="1"/>
    <col min="10514" max="10514" width="9.140625" style="238"/>
    <col min="10515" max="10515" width="10.7109375" style="238" customWidth="1"/>
    <col min="10516" max="10516" width="8.28515625" style="238" customWidth="1"/>
    <col min="10517" max="10517" width="7.42578125" style="238" customWidth="1"/>
    <col min="10518" max="10518" width="9.140625" style="238"/>
    <col min="10519" max="10519" width="12.7109375" style="238" bestFit="1" customWidth="1"/>
    <col min="10520" max="10520" width="11.7109375" style="238" bestFit="1" customWidth="1"/>
    <col min="10521" max="10521" width="11.42578125" style="238" customWidth="1"/>
    <col min="10522" max="10525" width="9.140625" style="238"/>
    <col min="10526" max="10526" width="9.85546875" style="238" bestFit="1" customWidth="1"/>
    <col min="10527" max="10528" width="9.140625" style="238"/>
    <col min="10529" max="10529" width="13" style="238" bestFit="1" customWidth="1"/>
    <col min="10530" max="10531" width="10.42578125" style="238" bestFit="1" customWidth="1"/>
    <col min="10532" max="10533" width="9.28515625" style="238" bestFit="1" customWidth="1"/>
    <col min="10534" max="10534" width="11.28515625" style="238" bestFit="1" customWidth="1"/>
    <col min="10535" max="10535" width="12" style="238" customWidth="1"/>
    <col min="10536" max="10536" width="13" style="238" customWidth="1"/>
    <col min="10537" max="10752" width="9.140625" style="238"/>
    <col min="10753" max="10753" width="1.42578125" style="238" customWidth="1"/>
    <col min="10754" max="10754" width="8.140625" style="238" customWidth="1"/>
    <col min="10755" max="10755" width="12.5703125" style="238" customWidth="1"/>
    <col min="10756" max="10756" width="5.5703125" style="238" customWidth="1"/>
    <col min="10757" max="10757" width="11.85546875" style="238" customWidth="1"/>
    <col min="10758" max="10759" width="13.28515625" style="238" customWidth="1"/>
    <col min="10760" max="10760" width="13.7109375" style="238" customWidth="1"/>
    <col min="10761" max="10761" width="13.5703125" style="238" customWidth="1"/>
    <col min="10762" max="10762" width="8.42578125" style="238" customWidth="1"/>
    <col min="10763" max="10763" width="5.28515625" style="238" customWidth="1"/>
    <col min="10764" max="10764" width="10.140625" style="238" customWidth="1"/>
    <col min="10765" max="10765" width="9.140625" style="238"/>
    <col min="10766" max="10766" width="8.7109375" style="238" customWidth="1"/>
    <col min="10767" max="10767" width="2" style="238" customWidth="1"/>
    <col min="10768" max="10768" width="11.42578125" style="238" customWidth="1"/>
    <col min="10769" max="10769" width="11.85546875" style="238" bestFit="1" customWidth="1"/>
    <col min="10770" max="10770" width="9.140625" style="238"/>
    <col min="10771" max="10771" width="10.7109375" style="238" customWidth="1"/>
    <col min="10772" max="10772" width="8.28515625" style="238" customWidth="1"/>
    <col min="10773" max="10773" width="7.42578125" style="238" customWidth="1"/>
    <col min="10774" max="10774" width="9.140625" style="238"/>
    <col min="10775" max="10775" width="12.7109375" style="238" bestFit="1" customWidth="1"/>
    <col min="10776" max="10776" width="11.7109375" style="238" bestFit="1" customWidth="1"/>
    <col min="10777" max="10777" width="11.42578125" style="238" customWidth="1"/>
    <col min="10778" max="10781" width="9.140625" style="238"/>
    <col min="10782" max="10782" width="9.85546875" style="238" bestFit="1" customWidth="1"/>
    <col min="10783" max="10784" width="9.140625" style="238"/>
    <col min="10785" max="10785" width="13" style="238" bestFit="1" customWidth="1"/>
    <col min="10786" max="10787" width="10.42578125" style="238" bestFit="1" customWidth="1"/>
    <col min="10788" max="10789" width="9.28515625" style="238" bestFit="1" customWidth="1"/>
    <col min="10790" max="10790" width="11.28515625" style="238" bestFit="1" customWidth="1"/>
    <col min="10791" max="10791" width="12" style="238" customWidth="1"/>
    <col min="10792" max="10792" width="13" style="238" customWidth="1"/>
    <col min="10793" max="11008" width="9.140625" style="238"/>
    <col min="11009" max="11009" width="1.42578125" style="238" customWidth="1"/>
    <col min="11010" max="11010" width="8.140625" style="238" customWidth="1"/>
    <col min="11011" max="11011" width="12.5703125" style="238" customWidth="1"/>
    <col min="11012" max="11012" width="5.5703125" style="238" customWidth="1"/>
    <col min="11013" max="11013" width="11.85546875" style="238" customWidth="1"/>
    <col min="11014" max="11015" width="13.28515625" style="238" customWidth="1"/>
    <col min="11016" max="11016" width="13.7109375" style="238" customWidth="1"/>
    <col min="11017" max="11017" width="13.5703125" style="238" customWidth="1"/>
    <col min="11018" max="11018" width="8.42578125" style="238" customWidth="1"/>
    <col min="11019" max="11019" width="5.28515625" style="238" customWidth="1"/>
    <col min="11020" max="11020" width="10.140625" style="238" customWidth="1"/>
    <col min="11021" max="11021" width="9.140625" style="238"/>
    <col min="11022" max="11022" width="8.7109375" style="238" customWidth="1"/>
    <col min="11023" max="11023" width="2" style="238" customWidth="1"/>
    <col min="11024" max="11024" width="11.42578125" style="238" customWidth="1"/>
    <col min="11025" max="11025" width="11.85546875" style="238" bestFit="1" customWidth="1"/>
    <col min="11026" max="11026" width="9.140625" style="238"/>
    <col min="11027" max="11027" width="10.7109375" style="238" customWidth="1"/>
    <col min="11028" max="11028" width="8.28515625" style="238" customWidth="1"/>
    <col min="11029" max="11029" width="7.42578125" style="238" customWidth="1"/>
    <col min="11030" max="11030" width="9.140625" style="238"/>
    <col min="11031" max="11031" width="12.7109375" style="238" bestFit="1" customWidth="1"/>
    <col min="11032" max="11032" width="11.7109375" style="238" bestFit="1" customWidth="1"/>
    <col min="11033" max="11033" width="11.42578125" style="238" customWidth="1"/>
    <col min="11034" max="11037" width="9.140625" style="238"/>
    <col min="11038" max="11038" width="9.85546875" style="238" bestFit="1" customWidth="1"/>
    <col min="11039" max="11040" width="9.140625" style="238"/>
    <col min="11041" max="11041" width="13" style="238" bestFit="1" customWidth="1"/>
    <col min="11042" max="11043" width="10.42578125" style="238" bestFit="1" customWidth="1"/>
    <col min="11044" max="11045" width="9.28515625" style="238" bestFit="1" customWidth="1"/>
    <col min="11046" max="11046" width="11.28515625" style="238" bestFit="1" customWidth="1"/>
    <col min="11047" max="11047" width="12" style="238" customWidth="1"/>
    <col min="11048" max="11048" width="13" style="238" customWidth="1"/>
    <col min="11049" max="11264" width="9.140625" style="238"/>
    <col min="11265" max="11265" width="1.42578125" style="238" customWidth="1"/>
    <col min="11266" max="11266" width="8.140625" style="238" customWidth="1"/>
    <col min="11267" max="11267" width="12.5703125" style="238" customWidth="1"/>
    <col min="11268" max="11268" width="5.5703125" style="238" customWidth="1"/>
    <col min="11269" max="11269" width="11.85546875" style="238" customWidth="1"/>
    <col min="11270" max="11271" width="13.28515625" style="238" customWidth="1"/>
    <col min="11272" max="11272" width="13.7109375" style="238" customWidth="1"/>
    <col min="11273" max="11273" width="13.5703125" style="238" customWidth="1"/>
    <col min="11274" max="11274" width="8.42578125" style="238" customWidth="1"/>
    <col min="11275" max="11275" width="5.28515625" style="238" customWidth="1"/>
    <col min="11276" max="11276" width="10.140625" style="238" customWidth="1"/>
    <col min="11277" max="11277" width="9.140625" style="238"/>
    <col min="11278" max="11278" width="8.7109375" style="238" customWidth="1"/>
    <col min="11279" max="11279" width="2" style="238" customWidth="1"/>
    <col min="11280" max="11280" width="11.42578125" style="238" customWidth="1"/>
    <col min="11281" max="11281" width="11.85546875" style="238" bestFit="1" customWidth="1"/>
    <col min="11282" max="11282" width="9.140625" style="238"/>
    <col min="11283" max="11283" width="10.7109375" style="238" customWidth="1"/>
    <col min="11284" max="11284" width="8.28515625" style="238" customWidth="1"/>
    <col min="11285" max="11285" width="7.42578125" style="238" customWidth="1"/>
    <col min="11286" max="11286" width="9.140625" style="238"/>
    <col min="11287" max="11287" width="12.7109375" style="238" bestFit="1" customWidth="1"/>
    <col min="11288" max="11288" width="11.7109375" style="238" bestFit="1" customWidth="1"/>
    <col min="11289" max="11289" width="11.42578125" style="238" customWidth="1"/>
    <col min="11290" max="11293" width="9.140625" style="238"/>
    <col min="11294" max="11294" width="9.85546875" style="238" bestFit="1" customWidth="1"/>
    <col min="11295" max="11296" width="9.140625" style="238"/>
    <col min="11297" max="11297" width="13" style="238" bestFit="1" customWidth="1"/>
    <col min="11298" max="11299" width="10.42578125" style="238" bestFit="1" customWidth="1"/>
    <col min="11300" max="11301" width="9.28515625" style="238" bestFit="1" customWidth="1"/>
    <col min="11302" max="11302" width="11.28515625" style="238" bestFit="1" customWidth="1"/>
    <col min="11303" max="11303" width="12" style="238" customWidth="1"/>
    <col min="11304" max="11304" width="13" style="238" customWidth="1"/>
    <col min="11305" max="11520" width="9.140625" style="238"/>
    <col min="11521" max="11521" width="1.42578125" style="238" customWidth="1"/>
    <col min="11522" max="11522" width="8.140625" style="238" customWidth="1"/>
    <col min="11523" max="11523" width="12.5703125" style="238" customWidth="1"/>
    <col min="11524" max="11524" width="5.5703125" style="238" customWidth="1"/>
    <col min="11525" max="11525" width="11.85546875" style="238" customWidth="1"/>
    <col min="11526" max="11527" width="13.28515625" style="238" customWidth="1"/>
    <col min="11528" max="11528" width="13.7109375" style="238" customWidth="1"/>
    <col min="11529" max="11529" width="13.5703125" style="238" customWidth="1"/>
    <col min="11530" max="11530" width="8.42578125" style="238" customWidth="1"/>
    <col min="11531" max="11531" width="5.28515625" style="238" customWidth="1"/>
    <col min="11532" max="11532" width="10.140625" style="238" customWidth="1"/>
    <col min="11533" max="11533" width="9.140625" style="238"/>
    <col min="11534" max="11534" width="8.7109375" style="238" customWidth="1"/>
    <col min="11535" max="11535" width="2" style="238" customWidth="1"/>
    <col min="11536" max="11536" width="11.42578125" style="238" customWidth="1"/>
    <col min="11537" max="11537" width="11.85546875" style="238" bestFit="1" customWidth="1"/>
    <col min="11538" max="11538" width="9.140625" style="238"/>
    <col min="11539" max="11539" width="10.7109375" style="238" customWidth="1"/>
    <col min="11540" max="11540" width="8.28515625" style="238" customWidth="1"/>
    <col min="11541" max="11541" width="7.42578125" style="238" customWidth="1"/>
    <col min="11542" max="11542" width="9.140625" style="238"/>
    <col min="11543" max="11543" width="12.7109375" style="238" bestFit="1" customWidth="1"/>
    <col min="11544" max="11544" width="11.7109375" style="238" bestFit="1" customWidth="1"/>
    <col min="11545" max="11545" width="11.42578125" style="238" customWidth="1"/>
    <col min="11546" max="11549" width="9.140625" style="238"/>
    <col min="11550" max="11550" width="9.85546875" style="238" bestFit="1" customWidth="1"/>
    <col min="11551" max="11552" width="9.140625" style="238"/>
    <col min="11553" max="11553" width="13" style="238" bestFit="1" customWidth="1"/>
    <col min="11554" max="11555" width="10.42578125" style="238" bestFit="1" customWidth="1"/>
    <col min="11556" max="11557" width="9.28515625" style="238" bestFit="1" customWidth="1"/>
    <col min="11558" max="11558" width="11.28515625" style="238" bestFit="1" customWidth="1"/>
    <col min="11559" max="11559" width="12" style="238" customWidth="1"/>
    <col min="11560" max="11560" width="13" style="238" customWidth="1"/>
    <col min="11561" max="11776" width="9.140625" style="238"/>
    <col min="11777" max="11777" width="1.42578125" style="238" customWidth="1"/>
    <col min="11778" max="11778" width="8.140625" style="238" customWidth="1"/>
    <col min="11779" max="11779" width="12.5703125" style="238" customWidth="1"/>
    <col min="11780" max="11780" width="5.5703125" style="238" customWidth="1"/>
    <col min="11781" max="11781" width="11.85546875" style="238" customWidth="1"/>
    <col min="11782" max="11783" width="13.28515625" style="238" customWidth="1"/>
    <col min="11784" max="11784" width="13.7109375" style="238" customWidth="1"/>
    <col min="11785" max="11785" width="13.5703125" style="238" customWidth="1"/>
    <col min="11786" max="11786" width="8.42578125" style="238" customWidth="1"/>
    <col min="11787" max="11787" width="5.28515625" style="238" customWidth="1"/>
    <col min="11788" max="11788" width="10.140625" style="238" customWidth="1"/>
    <col min="11789" max="11789" width="9.140625" style="238"/>
    <col min="11790" max="11790" width="8.7109375" style="238" customWidth="1"/>
    <col min="11791" max="11791" width="2" style="238" customWidth="1"/>
    <col min="11792" max="11792" width="11.42578125" style="238" customWidth="1"/>
    <col min="11793" max="11793" width="11.85546875" style="238" bestFit="1" customWidth="1"/>
    <col min="11794" max="11794" width="9.140625" style="238"/>
    <col min="11795" max="11795" width="10.7109375" style="238" customWidth="1"/>
    <col min="11796" max="11796" width="8.28515625" style="238" customWidth="1"/>
    <col min="11797" max="11797" width="7.42578125" style="238" customWidth="1"/>
    <col min="11798" max="11798" width="9.140625" style="238"/>
    <col min="11799" max="11799" width="12.7109375" style="238" bestFit="1" customWidth="1"/>
    <col min="11800" max="11800" width="11.7109375" style="238" bestFit="1" customWidth="1"/>
    <col min="11801" max="11801" width="11.42578125" style="238" customWidth="1"/>
    <col min="11802" max="11805" width="9.140625" style="238"/>
    <col min="11806" max="11806" width="9.85546875" style="238" bestFit="1" customWidth="1"/>
    <col min="11807" max="11808" width="9.140625" style="238"/>
    <col min="11809" max="11809" width="13" style="238" bestFit="1" customWidth="1"/>
    <col min="11810" max="11811" width="10.42578125" style="238" bestFit="1" customWidth="1"/>
    <col min="11812" max="11813" width="9.28515625" style="238" bestFit="1" customWidth="1"/>
    <col min="11814" max="11814" width="11.28515625" style="238" bestFit="1" customWidth="1"/>
    <col min="11815" max="11815" width="12" style="238" customWidth="1"/>
    <col min="11816" max="11816" width="13" style="238" customWidth="1"/>
    <col min="11817" max="12032" width="9.140625" style="238"/>
    <col min="12033" max="12033" width="1.42578125" style="238" customWidth="1"/>
    <col min="12034" max="12034" width="8.140625" style="238" customWidth="1"/>
    <col min="12035" max="12035" width="12.5703125" style="238" customWidth="1"/>
    <col min="12036" max="12036" width="5.5703125" style="238" customWidth="1"/>
    <col min="12037" max="12037" width="11.85546875" style="238" customWidth="1"/>
    <col min="12038" max="12039" width="13.28515625" style="238" customWidth="1"/>
    <col min="12040" max="12040" width="13.7109375" style="238" customWidth="1"/>
    <col min="12041" max="12041" width="13.5703125" style="238" customWidth="1"/>
    <col min="12042" max="12042" width="8.42578125" style="238" customWidth="1"/>
    <col min="12043" max="12043" width="5.28515625" style="238" customWidth="1"/>
    <col min="12044" max="12044" width="10.140625" style="238" customWidth="1"/>
    <col min="12045" max="12045" width="9.140625" style="238"/>
    <col min="12046" max="12046" width="8.7109375" style="238" customWidth="1"/>
    <col min="12047" max="12047" width="2" style="238" customWidth="1"/>
    <col min="12048" max="12048" width="11.42578125" style="238" customWidth="1"/>
    <col min="12049" max="12049" width="11.85546875" style="238" bestFit="1" customWidth="1"/>
    <col min="12050" max="12050" width="9.140625" style="238"/>
    <col min="12051" max="12051" width="10.7109375" style="238" customWidth="1"/>
    <col min="12052" max="12052" width="8.28515625" style="238" customWidth="1"/>
    <col min="12053" max="12053" width="7.42578125" style="238" customWidth="1"/>
    <col min="12054" max="12054" width="9.140625" style="238"/>
    <col min="12055" max="12055" width="12.7109375" style="238" bestFit="1" customWidth="1"/>
    <col min="12056" max="12056" width="11.7109375" style="238" bestFit="1" customWidth="1"/>
    <col min="12057" max="12057" width="11.42578125" style="238" customWidth="1"/>
    <col min="12058" max="12061" width="9.140625" style="238"/>
    <col min="12062" max="12062" width="9.85546875" style="238" bestFit="1" customWidth="1"/>
    <col min="12063" max="12064" width="9.140625" style="238"/>
    <col min="12065" max="12065" width="13" style="238" bestFit="1" customWidth="1"/>
    <col min="12066" max="12067" width="10.42578125" style="238" bestFit="1" customWidth="1"/>
    <col min="12068" max="12069" width="9.28515625" style="238" bestFit="1" customWidth="1"/>
    <col min="12070" max="12070" width="11.28515625" style="238" bestFit="1" customWidth="1"/>
    <col min="12071" max="12071" width="12" style="238" customWidth="1"/>
    <col min="12072" max="12072" width="13" style="238" customWidth="1"/>
    <col min="12073" max="12288" width="9.140625" style="238"/>
    <col min="12289" max="12289" width="1.42578125" style="238" customWidth="1"/>
    <col min="12290" max="12290" width="8.140625" style="238" customWidth="1"/>
    <col min="12291" max="12291" width="12.5703125" style="238" customWidth="1"/>
    <col min="12292" max="12292" width="5.5703125" style="238" customWidth="1"/>
    <col min="12293" max="12293" width="11.85546875" style="238" customWidth="1"/>
    <col min="12294" max="12295" width="13.28515625" style="238" customWidth="1"/>
    <col min="12296" max="12296" width="13.7109375" style="238" customWidth="1"/>
    <col min="12297" max="12297" width="13.5703125" style="238" customWidth="1"/>
    <col min="12298" max="12298" width="8.42578125" style="238" customWidth="1"/>
    <col min="12299" max="12299" width="5.28515625" style="238" customWidth="1"/>
    <col min="12300" max="12300" width="10.140625" style="238" customWidth="1"/>
    <col min="12301" max="12301" width="9.140625" style="238"/>
    <col min="12302" max="12302" width="8.7109375" style="238" customWidth="1"/>
    <col min="12303" max="12303" width="2" style="238" customWidth="1"/>
    <col min="12304" max="12304" width="11.42578125" style="238" customWidth="1"/>
    <col min="12305" max="12305" width="11.85546875" style="238" bestFit="1" customWidth="1"/>
    <col min="12306" max="12306" width="9.140625" style="238"/>
    <col min="12307" max="12307" width="10.7109375" style="238" customWidth="1"/>
    <col min="12308" max="12308" width="8.28515625" style="238" customWidth="1"/>
    <col min="12309" max="12309" width="7.42578125" style="238" customWidth="1"/>
    <col min="12310" max="12310" width="9.140625" style="238"/>
    <col min="12311" max="12311" width="12.7109375" style="238" bestFit="1" customWidth="1"/>
    <col min="12312" max="12312" width="11.7109375" style="238" bestFit="1" customWidth="1"/>
    <col min="12313" max="12313" width="11.42578125" style="238" customWidth="1"/>
    <col min="12314" max="12317" width="9.140625" style="238"/>
    <col min="12318" max="12318" width="9.85546875" style="238" bestFit="1" customWidth="1"/>
    <col min="12319" max="12320" width="9.140625" style="238"/>
    <col min="12321" max="12321" width="13" style="238" bestFit="1" customWidth="1"/>
    <col min="12322" max="12323" width="10.42578125" style="238" bestFit="1" customWidth="1"/>
    <col min="12324" max="12325" width="9.28515625" style="238" bestFit="1" customWidth="1"/>
    <col min="12326" max="12326" width="11.28515625" style="238" bestFit="1" customWidth="1"/>
    <col min="12327" max="12327" width="12" style="238" customWidth="1"/>
    <col min="12328" max="12328" width="13" style="238" customWidth="1"/>
    <col min="12329" max="12544" width="9.140625" style="238"/>
    <col min="12545" max="12545" width="1.42578125" style="238" customWidth="1"/>
    <col min="12546" max="12546" width="8.140625" style="238" customWidth="1"/>
    <col min="12547" max="12547" width="12.5703125" style="238" customWidth="1"/>
    <col min="12548" max="12548" width="5.5703125" style="238" customWidth="1"/>
    <col min="12549" max="12549" width="11.85546875" style="238" customWidth="1"/>
    <col min="12550" max="12551" width="13.28515625" style="238" customWidth="1"/>
    <col min="12552" max="12552" width="13.7109375" style="238" customWidth="1"/>
    <col min="12553" max="12553" width="13.5703125" style="238" customWidth="1"/>
    <col min="12554" max="12554" width="8.42578125" style="238" customWidth="1"/>
    <col min="12555" max="12555" width="5.28515625" style="238" customWidth="1"/>
    <col min="12556" max="12556" width="10.140625" style="238" customWidth="1"/>
    <col min="12557" max="12557" width="9.140625" style="238"/>
    <col min="12558" max="12558" width="8.7109375" style="238" customWidth="1"/>
    <col min="12559" max="12559" width="2" style="238" customWidth="1"/>
    <col min="12560" max="12560" width="11.42578125" style="238" customWidth="1"/>
    <col min="12561" max="12561" width="11.85546875" style="238" bestFit="1" customWidth="1"/>
    <col min="12562" max="12562" width="9.140625" style="238"/>
    <col min="12563" max="12563" width="10.7109375" style="238" customWidth="1"/>
    <col min="12564" max="12564" width="8.28515625" style="238" customWidth="1"/>
    <col min="12565" max="12565" width="7.42578125" style="238" customWidth="1"/>
    <col min="12566" max="12566" width="9.140625" style="238"/>
    <col min="12567" max="12567" width="12.7109375" style="238" bestFit="1" customWidth="1"/>
    <col min="12568" max="12568" width="11.7109375" style="238" bestFit="1" customWidth="1"/>
    <col min="12569" max="12569" width="11.42578125" style="238" customWidth="1"/>
    <col min="12570" max="12573" width="9.140625" style="238"/>
    <col min="12574" max="12574" width="9.85546875" style="238" bestFit="1" customWidth="1"/>
    <col min="12575" max="12576" width="9.140625" style="238"/>
    <col min="12577" max="12577" width="13" style="238" bestFit="1" customWidth="1"/>
    <col min="12578" max="12579" width="10.42578125" style="238" bestFit="1" customWidth="1"/>
    <col min="12580" max="12581" width="9.28515625" style="238" bestFit="1" customWidth="1"/>
    <col min="12582" max="12582" width="11.28515625" style="238" bestFit="1" customWidth="1"/>
    <col min="12583" max="12583" width="12" style="238" customWidth="1"/>
    <col min="12584" max="12584" width="13" style="238" customWidth="1"/>
    <col min="12585" max="12800" width="9.140625" style="238"/>
    <col min="12801" max="12801" width="1.42578125" style="238" customWidth="1"/>
    <col min="12802" max="12802" width="8.140625" style="238" customWidth="1"/>
    <col min="12803" max="12803" width="12.5703125" style="238" customWidth="1"/>
    <col min="12804" max="12804" width="5.5703125" style="238" customWidth="1"/>
    <col min="12805" max="12805" width="11.85546875" style="238" customWidth="1"/>
    <col min="12806" max="12807" width="13.28515625" style="238" customWidth="1"/>
    <col min="12808" max="12808" width="13.7109375" style="238" customWidth="1"/>
    <col min="12809" max="12809" width="13.5703125" style="238" customWidth="1"/>
    <col min="12810" max="12810" width="8.42578125" style="238" customWidth="1"/>
    <col min="12811" max="12811" width="5.28515625" style="238" customWidth="1"/>
    <col min="12812" max="12812" width="10.140625" style="238" customWidth="1"/>
    <col min="12813" max="12813" width="9.140625" style="238"/>
    <col min="12814" max="12814" width="8.7109375" style="238" customWidth="1"/>
    <col min="12815" max="12815" width="2" style="238" customWidth="1"/>
    <col min="12816" max="12816" width="11.42578125" style="238" customWidth="1"/>
    <col min="12817" max="12817" width="11.85546875" style="238" bestFit="1" customWidth="1"/>
    <col min="12818" max="12818" width="9.140625" style="238"/>
    <col min="12819" max="12819" width="10.7109375" style="238" customWidth="1"/>
    <col min="12820" max="12820" width="8.28515625" style="238" customWidth="1"/>
    <col min="12821" max="12821" width="7.42578125" style="238" customWidth="1"/>
    <col min="12822" max="12822" width="9.140625" style="238"/>
    <col min="12823" max="12823" width="12.7109375" style="238" bestFit="1" customWidth="1"/>
    <col min="12824" max="12824" width="11.7109375" style="238" bestFit="1" customWidth="1"/>
    <col min="12825" max="12825" width="11.42578125" style="238" customWidth="1"/>
    <col min="12826" max="12829" width="9.140625" style="238"/>
    <col min="12830" max="12830" width="9.85546875" style="238" bestFit="1" customWidth="1"/>
    <col min="12831" max="12832" width="9.140625" style="238"/>
    <col min="12833" max="12833" width="13" style="238" bestFit="1" customWidth="1"/>
    <col min="12834" max="12835" width="10.42578125" style="238" bestFit="1" customWidth="1"/>
    <col min="12836" max="12837" width="9.28515625" style="238" bestFit="1" customWidth="1"/>
    <col min="12838" max="12838" width="11.28515625" style="238" bestFit="1" customWidth="1"/>
    <col min="12839" max="12839" width="12" style="238" customWidth="1"/>
    <col min="12840" max="12840" width="13" style="238" customWidth="1"/>
    <col min="12841" max="13056" width="9.140625" style="238"/>
    <col min="13057" max="13057" width="1.42578125" style="238" customWidth="1"/>
    <col min="13058" max="13058" width="8.140625" style="238" customWidth="1"/>
    <col min="13059" max="13059" width="12.5703125" style="238" customWidth="1"/>
    <col min="13060" max="13060" width="5.5703125" style="238" customWidth="1"/>
    <col min="13061" max="13061" width="11.85546875" style="238" customWidth="1"/>
    <col min="13062" max="13063" width="13.28515625" style="238" customWidth="1"/>
    <col min="13064" max="13064" width="13.7109375" style="238" customWidth="1"/>
    <col min="13065" max="13065" width="13.5703125" style="238" customWidth="1"/>
    <col min="13066" max="13066" width="8.42578125" style="238" customWidth="1"/>
    <col min="13067" max="13067" width="5.28515625" style="238" customWidth="1"/>
    <col min="13068" max="13068" width="10.140625" style="238" customWidth="1"/>
    <col min="13069" max="13069" width="9.140625" style="238"/>
    <col min="13070" max="13070" width="8.7109375" style="238" customWidth="1"/>
    <col min="13071" max="13071" width="2" style="238" customWidth="1"/>
    <col min="13072" max="13072" width="11.42578125" style="238" customWidth="1"/>
    <col min="13073" max="13073" width="11.85546875" style="238" bestFit="1" customWidth="1"/>
    <col min="13074" max="13074" width="9.140625" style="238"/>
    <col min="13075" max="13075" width="10.7109375" style="238" customWidth="1"/>
    <col min="13076" max="13076" width="8.28515625" style="238" customWidth="1"/>
    <col min="13077" max="13077" width="7.42578125" style="238" customWidth="1"/>
    <col min="13078" max="13078" width="9.140625" style="238"/>
    <col min="13079" max="13079" width="12.7109375" style="238" bestFit="1" customWidth="1"/>
    <col min="13080" max="13080" width="11.7109375" style="238" bestFit="1" customWidth="1"/>
    <col min="13081" max="13081" width="11.42578125" style="238" customWidth="1"/>
    <col min="13082" max="13085" width="9.140625" style="238"/>
    <col min="13086" max="13086" width="9.85546875" style="238" bestFit="1" customWidth="1"/>
    <col min="13087" max="13088" width="9.140625" style="238"/>
    <col min="13089" max="13089" width="13" style="238" bestFit="1" customWidth="1"/>
    <col min="13090" max="13091" width="10.42578125" style="238" bestFit="1" customWidth="1"/>
    <col min="13092" max="13093" width="9.28515625" style="238" bestFit="1" customWidth="1"/>
    <col min="13094" max="13094" width="11.28515625" style="238" bestFit="1" customWidth="1"/>
    <col min="13095" max="13095" width="12" style="238" customWidth="1"/>
    <col min="13096" max="13096" width="13" style="238" customWidth="1"/>
    <col min="13097" max="13312" width="9.140625" style="238"/>
    <col min="13313" max="13313" width="1.42578125" style="238" customWidth="1"/>
    <col min="13314" max="13314" width="8.140625" style="238" customWidth="1"/>
    <col min="13315" max="13315" width="12.5703125" style="238" customWidth="1"/>
    <col min="13316" max="13316" width="5.5703125" style="238" customWidth="1"/>
    <col min="13317" max="13317" width="11.85546875" style="238" customWidth="1"/>
    <col min="13318" max="13319" width="13.28515625" style="238" customWidth="1"/>
    <col min="13320" max="13320" width="13.7109375" style="238" customWidth="1"/>
    <col min="13321" max="13321" width="13.5703125" style="238" customWidth="1"/>
    <col min="13322" max="13322" width="8.42578125" style="238" customWidth="1"/>
    <col min="13323" max="13323" width="5.28515625" style="238" customWidth="1"/>
    <col min="13324" max="13324" width="10.140625" style="238" customWidth="1"/>
    <col min="13325" max="13325" width="9.140625" style="238"/>
    <col min="13326" max="13326" width="8.7109375" style="238" customWidth="1"/>
    <col min="13327" max="13327" width="2" style="238" customWidth="1"/>
    <col min="13328" max="13328" width="11.42578125" style="238" customWidth="1"/>
    <col min="13329" max="13329" width="11.85546875" style="238" bestFit="1" customWidth="1"/>
    <col min="13330" max="13330" width="9.140625" style="238"/>
    <col min="13331" max="13331" width="10.7109375" style="238" customWidth="1"/>
    <col min="13332" max="13332" width="8.28515625" style="238" customWidth="1"/>
    <col min="13333" max="13333" width="7.42578125" style="238" customWidth="1"/>
    <col min="13334" max="13334" width="9.140625" style="238"/>
    <col min="13335" max="13335" width="12.7109375" style="238" bestFit="1" customWidth="1"/>
    <col min="13336" max="13336" width="11.7109375" style="238" bestFit="1" customWidth="1"/>
    <col min="13337" max="13337" width="11.42578125" style="238" customWidth="1"/>
    <col min="13338" max="13341" width="9.140625" style="238"/>
    <col min="13342" max="13342" width="9.85546875" style="238" bestFit="1" customWidth="1"/>
    <col min="13343" max="13344" width="9.140625" style="238"/>
    <col min="13345" max="13345" width="13" style="238" bestFit="1" customWidth="1"/>
    <col min="13346" max="13347" width="10.42578125" style="238" bestFit="1" customWidth="1"/>
    <col min="13348" max="13349" width="9.28515625" style="238" bestFit="1" customWidth="1"/>
    <col min="13350" max="13350" width="11.28515625" style="238" bestFit="1" customWidth="1"/>
    <col min="13351" max="13351" width="12" style="238" customWidth="1"/>
    <col min="13352" max="13352" width="13" style="238" customWidth="1"/>
    <col min="13353" max="13568" width="9.140625" style="238"/>
    <col min="13569" max="13569" width="1.42578125" style="238" customWidth="1"/>
    <col min="13570" max="13570" width="8.140625" style="238" customWidth="1"/>
    <col min="13571" max="13571" width="12.5703125" style="238" customWidth="1"/>
    <col min="13572" max="13572" width="5.5703125" style="238" customWidth="1"/>
    <col min="13573" max="13573" width="11.85546875" style="238" customWidth="1"/>
    <col min="13574" max="13575" width="13.28515625" style="238" customWidth="1"/>
    <col min="13576" max="13576" width="13.7109375" style="238" customWidth="1"/>
    <col min="13577" max="13577" width="13.5703125" style="238" customWidth="1"/>
    <col min="13578" max="13578" width="8.42578125" style="238" customWidth="1"/>
    <col min="13579" max="13579" width="5.28515625" style="238" customWidth="1"/>
    <col min="13580" max="13580" width="10.140625" style="238" customWidth="1"/>
    <col min="13581" max="13581" width="9.140625" style="238"/>
    <col min="13582" max="13582" width="8.7109375" style="238" customWidth="1"/>
    <col min="13583" max="13583" width="2" style="238" customWidth="1"/>
    <col min="13584" max="13584" width="11.42578125" style="238" customWidth="1"/>
    <col min="13585" max="13585" width="11.85546875" style="238" bestFit="1" customWidth="1"/>
    <col min="13586" max="13586" width="9.140625" style="238"/>
    <col min="13587" max="13587" width="10.7109375" style="238" customWidth="1"/>
    <col min="13588" max="13588" width="8.28515625" style="238" customWidth="1"/>
    <col min="13589" max="13589" width="7.42578125" style="238" customWidth="1"/>
    <col min="13590" max="13590" width="9.140625" style="238"/>
    <col min="13591" max="13591" width="12.7109375" style="238" bestFit="1" customWidth="1"/>
    <col min="13592" max="13592" width="11.7109375" style="238" bestFit="1" customWidth="1"/>
    <col min="13593" max="13593" width="11.42578125" style="238" customWidth="1"/>
    <col min="13594" max="13597" width="9.140625" style="238"/>
    <col min="13598" max="13598" width="9.85546875" style="238" bestFit="1" customWidth="1"/>
    <col min="13599" max="13600" width="9.140625" style="238"/>
    <col min="13601" max="13601" width="13" style="238" bestFit="1" customWidth="1"/>
    <col min="13602" max="13603" width="10.42578125" style="238" bestFit="1" customWidth="1"/>
    <col min="13604" max="13605" width="9.28515625" style="238" bestFit="1" customWidth="1"/>
    <col min="13606" max="13606" width="11.28515625" style="238" bestFit="1" customWidth="1"/>
    <col min="13607" max="13607" width="12" style="238" customWidth="1"/>
    <col min="13608" max="13608" width="13" style="238" customWidth="1"/>
    <col min="13609" max="13824" width="9.140625" style="238"/>
    <col min="13825" max="13825" width="1.42578125" style="238" customWidth="1"/>
    <col min="13826" max="13826" width="8.140625" style="238" customWidth="1"/>
    <col min="13827" max="13827" width="12.5703125" style="238" customWidth="1"/>
    <col min="13828" max="13828" width="5.5703125" style="238" customWidth="1"/>
    <col min="13829" max="13829" width="11.85546875" style="238" customWidth="1"/>
    <col min="13830" max="13831" width="13.28515625" style="238" customWidth="1"/>
    <col min="13832" max="13832" width="13.7109375" style="238" customWidth="1"/>
    <col min="13833" max="13833" width="13.5703125" style="238" customWidth="1"/>
    <col min="13834" max="13834" width="8.42578125" style="238" customWidth="1"/>
    <col min="13835" max="13835" width="5.28515625" style="238" customWidth="1"/>
    <col min="13836" max="13836" width="10.140625" style="238" customWidth="1"/>
    <col min="13837" max="13837" width="9.140625" style="238"/>
    <col min="13838" max="13838" width="8.7109375" style="238" customWidth="1"/>
    <col min="13839" max="13839" width="2" style="238" customWidth="1"/>
    <col min="13840" max="13840" width="11.42578125" style="238" customWidth="1"/>
    <col min="13841" max="13841" width="11.85546875" style="238" bestFit="1" customWidth="1"/>
    <col min="13842" max="13842" width="9.140625" style="238"/>
    <col min="13843" max="13843" width="10.7109375" style="238" customWidth="1"/>
    <col min="13844" max="13844" width="8.28515625" style="238" customWidth="1"/>
    <col min="13845" max="13845" width="7.42578125" style="238" customWidth="1"/>
    <col min="13846" max="13846" width="9.140625" style="238"/>
    <col min="13847" max="13847" width="12.7109375" style="238" bestFit="1" customWidth="1"/>
    <col min="13848" max="13848" width="11.7109375" style="238" bestFit="1" customWidth="1"/>
    <col min="13849" max="13849" width="11.42578125" style="238" customWidth="1"/>
    <col min="13850" max="13853" width="9.140625" style="238"/>
    <col min="13854" max="13854" width="9.85546875" style="238" bestFit="1" customWidth="1"/>
    <col min="13855" max="13856" width="9.140625" style="238"/>
    <col min="13857" max="13857" width="13" style="238" bestFit="1" customWidth="1"/>
    <col min="13858" max="13859" width="10.42578125" style="238" bestFit="1" customWidth="1"/>
    <col min="13860" max="13861" width="9.28515625" style="238" bestFit="1" customWidth="1"/>
    <col min="13862" max="13862" width="11.28515625" style="238" bestFit="1" customWidth="1"/>
    <col min="13863" max="13863" width="12" style="238" customWidth="1"/>
    <col min="13864" max="13864" width="13" style="238" customWidth="1"/>
    <col min="13865" max="14080" width="9.140625" style="238"/>
    <col min="14081" max="14081" width="1.42578125" style="238" customWidth="1"/>
    <col min="14082" max="14082" width="8.140625" style="238" customWidth="1"/>
    <col min="14083" max="14083" width="12.5703125" style="238" customWidth="1"/>
    <col min="14084" max="14084" width="5.5703125" style="238" customWidth="1"/>
    <col min="14085" max="14085" width="11.85546875" style="238" customWidth="1"/>
    <col min="14086" max="14087" width="13.28515625" style="238" customWidth="1"/>
    <col min="14088" max="14088" width="13.7109375" style="238" customWidth="1"/>
    <col min="14089" max="14089" width="13.5703125" style="238" customWidth="1"/>
    <col min="14090" max="14090" width="8.42578125" style="238" customWidth="1"/>
    <col min="14091" max="14091" width="5.28515625" style="238" customWidth="1"/>
    <col min="14092" max="14092" width="10.140625" style="238" customWidth="1"/>
    <col min="14093" max="14093" width="9.140625" style="238"/>
    <col min="14094" max="14094" width="8.7109375" style="238" customWidth="1"/>
    <col min="14095" max="14095" width="2" style="238" customWidth="1"/>
    <col min="14096" max="14096" width="11.42578125" style="238" customWidth="1"/>
    <col min="14097" max="14097" width="11.85546875" style="238" bestFit="1" customWidth="1"/>
    <col min="14098" max="14098" width="9.140625" style="238"/>
    <col min="14099" max="14099" width="10.7109375" style="238" customWidth="1"/>
    <col min="14100" max="14100" width="8.28515625" style="238" customWidth="1"/>
    <col min="14101" max="14101" width="7.42578125" style="238" customWidth="1"/>
    <col min="14102" max="14102" width="9.140625" style="238"/>
    <col min="14103" max="14103" width="12.7109375" style="238" bestFit="1" customWidth="1"/>
    <col min="14104" max="14104" width="11.7109375" style="238" bestFit="1" customWidth="1"/>
    <col min="14105" max="14105" width="11.42578125" style="238" customWidth="1"/>
    <col min="14106" max="14109" width="9.140625" style="238"/>
    <col min="14110" max="14110" width="9.85546875" style="238" bestFit="1" customWidth="1"/>
    <col min="14111" max="14112" width="9.140625" style="238"/>
    <col min="14113" max="14113" width="13" style="238" bestFit="1" customWidth="1"/>
    <col min="14114" max="14115" width="10.42578125" style="238" bestFit="1" customWidth="1"/>
    <col min="14116" max="14117" width="9.28515625" style="238" bestFit="1" customWidth="1"/>
    <col min="14118" max="14118" width="11.28515625" style="238" bestFit="1" customWidth="1"/>
    <col min="14119" max="14119" width="12" style="238" customWidth="1"/>
    <col min="14120" max="14120" width="13" style="238" customWidth="1"/>
    <col min="14121" max="14336" width="9.140625" style="238"/>
    <col min="14337" max="14337" width="1.42578125" style="238" customWidth="1"/>
    <col min="14338" max="14338" width="8.140625" style="238" customWidth="1"/>
    <col min="14339" max="14339" width="12.5703125" style="238" customWidth="1"/>
    <col min="14340" max="14340" width="5.5703125" style="238" customWidth="1"/>
    <col min="14341" max="14341" width="11.85546875" style="238" customWidth="1"/>
    <col min="14342" max="14343" width="13.28515625" style="238" customWidth="1"/>
    <col min="14344" max="14344" width="13.7109375" style="238" customWidth="1"/>
    <col min="14345" max="14345" width="13.5703125" style="238" customWidth="1"/>
    <col min="14346" max="14346" width="8.42578125" style="238" customWidth="1"/>
    <col min="14347" max="14347" width="5.28515625" style="238" customWidth="1"/>
    <col min="14348" max="14348" width="10.140625" style="238" customWidth="1"/>
    <col min="14349" max="14349" width="9.140625" style="238"/>
    <col min="14350" max="14350" width="8.7109375" style="238" customWidth="1"/>
    <col min="14351" max="14351" width="2" style="238" customWidth="1"/>
    <col min="14352" max="14352" width="11.42578125" style="238" customWidth="1"/>
    <col min="14353" max="14353" width="11.85546875" style="238" bestFit="1" customWidth="1"/>
    <col min="14354" max="14354" width="9.140625" style="238"/>
    <col min="14355" max="14355" width="10.7109375" style="238" customWidth="1"/>
    <col min="14356" max="14356" width="8.28515625" style="238" customWidth="1"/>
    <col min="14357" max="14357" width="7.42578125" style="238" customWidth="1"/>
    <col min="14358" max="14358" width="9.140625" style="238"/>
    <col min="14359" max="14359" width="12.7109375" style="238" bestFit="1" customWidth="1"/>
    <col min="14360" max="14360" width="11.7109375" style="238" bestFit="1" customWidth="1"/>
    <col min="14361" max="14361" width="11.42578125" style="238" customWidth="1"/>
    <col min="14362" max="14365" width="9.140625" style="238"/>
    <col min="14366" max="14366" width="9.85546875" style="238" bestFit="1" customWidth="1"/>
    <col min="14367" max="14368" width="9.140625" style="238"/>
    <col min="14369" max="14369" width="13" style="238" bestFit="1" customWidth="1"/>
    <col min="14370" max="14371" width="10.42578125" style="238" bestFit="1" customWidth="1"/>
    <col min="14372" max="14373" width="9.28515625" style="238" bestFit="1" customWidth="1"/>
    <col min="14374" max="14374" width="11.28515625" style="238" bestFit="1" customWidth="1"/>
    <col min="14375" max="14375" width="12" style="238" customWidth="1"/>
    <col min="14376" max="14376" width="13" style="238" customWidth="1"/>
    <col min="14377" max="14592" width="9.140625" style="238"/>
    <col min="14593" max="14593" width="1.42578125" style="238" customWidth="1"/>
    <col min="14594" max="14594" width="8.140625" style="238" customWidth="1"/>
    <col min="14595" max="14595" width="12.5703125" style="238" customWidth="1"/>
    <col min="14596" max="14596" width="5.5703125" style="238" customWidth="1"/>
    <col min="14597" max="14597" width="11.85546875" style="238" customWidth="1"/>
    <col min="14598" max="14599" width="13.28515625" style="238" customWidth="1"/>
    <col min="14600" max="14600" width="13.7109375" style="238" customWidth="1"/>
    <col min="14601" max="14601" width="13.5703125" style="238" customWidth="1"/>
    <col min="14602" max="14602" width="8.42578125" style="238" customWidth="1"/>
    <col min="14603" max="14603" width="5.28515625" style="238" customWidth="1"/>
    <col min="14604" max="14604" width="10.140625" style="238" customWidth="1"/>
    <col min="14605" max="14605" width="9.140625" style="238"/>
    <col min="14606" max="14606" width="8.7109375" style="238" customWidth="1"/>
    <col min="14607" max="14607" width="2" style="238" customWidth="1"/>
    <col min="14608" max="14608" width="11.42578125" style="238" customWidth="1"/>
    <col min="14609" max="14609" width="11.85546875" style="238" bestFit="1" customWidth="1"/>
    <col min="14610" max="14610" width="9.140625" style="238"/>
    <col min="14611" max="14611" width="10.7109375" style="238" customWidth="1"/>
    <col min="14612" max="14612" width="8.28515625" style="238" customWidth="1"/>
    <col min="14613" max="14613" width="7.42578125" style="238" customWidth="1"/>
    <col min="14614" max="14614" width="9.140625" style="238"/>
    <col min="14615" max="14615" width="12.7109375" style="238" bestFit="1" customWidth="1"/>
    <col min="14616" max="14616" width="11.7109375" style="238" bestFit="1" customWidth="1"/>
    <col min="14617" max="14617" width="11.42578125" style="238" customWidth="1"/>
    <col min="14618" max="14621" width="9.140625" style="238"/>
    <col min="14622" max="14622" width="9.85546875" style="238" bestFit="1" customWidth="1"/>
    <col min="14623" max="14624" width="9.140625" style="238"/>
    <col min="14625" max="14625" width="13" style="238" bestFit="1" customWidth="1"/>
    <col min="14626" max="14627" width="10.42578125" style="238" bestFit="1" customWidth="1"/>
    <col min="14628" max="14629" width="9.28515625" style="238" bestFit="1" customWidth="1"/>
    <col min="14630" max="14630" width="11.28515625" style="238" bestFit="1" customWidth="1"/>
    <col min="14631" max="14631" width="12" style="238" customWidth="1"/>
    <col min="14632" max="14632" width="13" style="238" customWidth="1"/>
    <col min="14633" max="14848" width="9.140625" style="238"/>
    <col min="14849" max="14849" width="1.42578125" style="238" customWidth="1"/>
    <col min="14850" max="14850" width="8.140625" style="238" customWidth="1"/>
    <col min="14851" max="14851" width="12.5703125" style="238" customWidth="1"/>
    <col min="14852" max="14852" width="5.5703125" style="238" customWidth="1"/>
    <col min="14853" max="14853" width="11.85546875" style="238" customWidth="1"/>
    <col min="14854" max="14855" width="13.28515625" style="238" customWidth="1"/>
    <col min="14856" max="14856" width="13.7109375" style="238" customWidth="1"/>
    <col min="14857" max="14857" width="13.5703125" style="238" customWidth="1"/>
    <col min="14858" max="14858" width="8.42578125" style="238" customWidth="1"/>
    <col min="14859" max="14859" width="5.28515625" style="238" customWidth="1"/>
    <col min="14860" max="14860" width="10.140625" style="238" customWidth="1"/>
    <col min="14861" max="14861" width="9.140625" style="238"/>
    <col min="14862" max="14862" width="8.7109375" style="238" customWidth="1"/>
    <col min="14863" max="14863" width="2" style="238" customWidth="1"/>
    <col min="14864" max="14864" width="11.42578125" style="238" customWidth="1"/>
    <col min="14865" max="14865" width="11.85546875" style="238" bestFit="1" customWidth="1"/>
    <col min="14866" max="14866" width="9.140625" style="238"/>
    <col min="14867" max="14867" width="10.7109375" style="238" customWidth="1"/>
    <col min="14868" max="14868" width="8.28515625" style="238" customWidth="1"/>
    <col min="14869" max="14869" width="7.42578125" style="238" customWidth="1"/>
    <col min="14870" max="14870" width="9.140625" style="238"/>
    <col min="14871" max="14871" width="12.7109375" style="238" bestFit="1" customWidth="1"/>
    <col min="14872" max="14872" width="11.7109375" style="238" bestFit="1" customWidth="1"/>
    <col min="14873" max="14873" width="11.42578125" style="238" customWidth="1"/>
    <col min="14874" max="14877" width="9.140625" style="238"/>
    <col min="14878" max="14878" width="9.85546875" style="238" bestFit="1" customWidth="1"/>
    <col min="14879" max="14880" width="9.140625" style="238"/>
    <col min="14881" max="14881" width="13" style="238" bestFit="1" customWidth="1"/>
    <col min="14882" max="14883" width="10.42578125" style="238" bestFit="1" customWidth="1"/>
    <col min="14884" max="14885" width="9.28515625" style="238" bestFit="1" customWidth="1"/>
    <col min="14886" max="14886" width="11.28515625" style="238" bestFit="1" customWidth="1"/>
    <col min="14887" max="14887" width="12" style="238" customWidth="1"/>
    <col min="14888" max="14888" width="13" style="238" customWidth="1"/>
    <col min="14889" max="15104" width="9.140625" style="238"/>
    <col min="15105" max="15105" width="1.42578125" style="238" customWidth="1"/>
    <col min="15106" max="15106" width="8.140625" style="238" customWidth="1"/>
    <col min="15107" max="15107" width="12.5703125" style="238" customWidth="1"/>
    <col min="15108" max="15108" width="5.5703125" style="238" customWidth="1"/>
    <col min="15109" max="15109" width="11.85546875" style="238" customWidth="1"/>
    <col min="15110" max="15111" width="13.28515625" style="238" customWidth="1"/>
    <col min="15112" max="15112" width="13.7109375" style="238" customWidth="1"/>
    <col min="15113" max="15113" width="13.5703125" style="238" customWidth="1"/>
    <col min="15114" max="15114" width="8.42578125" style="238" customWidth="1"/>
    <col min="15115" max="15115" width="5.28515625" style="238" customWidth="1"/>
    <col min="15116" max="15116" width="10.140625" style="238" customWidth="1"/>
    <col min="15117" max="15117" width="9.140625" style="238"/>
    <col min="15118" max="15118" width="8.7109375" style="238" customWidth="1"/>
    <col min="15119" max="15119" width="2" style="238" customWidth="1"/>
    <col min="15120" max="15120" width="11.42578125" style="238" customWidth="1"/>
    <col min="15121" max="15121" width="11.85546875" style="238" bestFit="1" customWidth="1"/>
    <col min="15122" max="15122" width="9.140625" style="238"/>
    <col min="15123" max="15123" width="10.7109375" style="238" customWidth="1"/>
    <col min="15124" max="15124" width="8.28515625" style="238" customWidth="1"/>
    <col min="15125" max="15125" width="7.42578125" style="238" customWidth="1"/>
    <col min="15126" max="15126" width="9.140625" style="238"/>
    <col min="15127" max="15127" width="12.7109375" style="238" bestFit="1" customWidth="1"/>
    <col min="15128" max="15128" width="11.7109375" style="238" bestFit="1" customWidth="1"/>
    <col min="15129" max="15129" width="11.42578125" style="238" customWidth="1"/>
    <col min="15130" max="15133" width="9.140625" style="238"/>
    <col min="15134" max="15134" width="9.85546875" style="238" bestFit="1" customWidth="1"/>
    <col min="15135" max="15136" width="9.140625" style="238"/>
    <col min="15137" max="15137" width="13" style="238" bestFit="1" customWidth="1"/>
    <col min="15138" max="15139" width="10.42578125" style="238" bestFit="1" customWidth="1"/>
    <col min="15140" max="15141" width="9.28515625" style="238" bestFit="1" customWidth="1"/>
    <col min="15142" max="15142" width="11.28515625" style="238" bestFit="1" customWidth="1"/>
    <col min="15143" max="15143" width="12" style="238" customWidth="1"/>
    <col min="15144" max="15144" width="13" style="238" customWidth="1"/>
    <col min="15145" max="15360" width="9.140625" style="238"/>
    <col min="15361" max="15361" width="1.42578125" style="238" customWidth="1"/>
    <col min="15362" max="15362" width="8.140625" style="238" customWidth="1"/>
    <col min="15363" max="15363" width="12.5703125" style="238" customWidth="1"/>
    <col min="15364" max="15364" width="5.5703125" style="238" customWidth="1"/>
    <col min="15365" max="15365" width="11.85546875" style="238" customWidth="1"/>
    <col min="15366" max="15367" width="13.28515625" style="238" customWidth="1"/>
    <col min="15368" max="15368" width="13.7109375" style="238" customWidth="1"/>
    <col min="15369" max="15369" width="13.5703125" style="238" customWidth="1"/>
    <col min="15370" max="15370" width="8.42578125" style="238" customWidth="1"/>
    <col min="15371" max="15371" width="5.28515625" style="238" customWidth="1"/>
    <col min="15372" max="15372" width="10.140625" style="238" customWidth="1"/>
    <col min="15373" max="15373" width="9.140625" style="238"/>
    <col min="15374" max="15374" width="8.7109375" style="238" customWidth="1"/>
    <col min="15375" max="15375" width="2" style="238" customWidth="1"/>
    <col min="15376" max="15376" width="11.42578125" style="238" customWidth="1"/>
    <col min="15377" max="15377" width="11.85546875" style="238" bestFit="1" customWidth="1"/>
    <col min="15378" max="15378" width="9.140625" style="238"/>
    <col min="15379" max="15379" width="10.7109375" style="238" customWidth="1"/>
    <col min="15380" max="15380" width="8.28515625" style="238" customWidth="1"/>
    <col min="15381" max="15381" width="7.42578125" style="238" customWidth="1"/>
    <col min="15382" max="15382" width="9.140625" style="238"/>
    <col min="15383" max="15383" width="12.7109375" style="238" bestFit="1" customWidth="1"/>
    <col min="15384" max="15384" width="11.7109375" style="238" bestFit="1" customWidth="1"/>
    <col min="15385" max="15385" width="11.42578125" style="238" customWidth="1"/>
    <col min="15386" max="15389" width="9.140625" style="238"/>
    <col min="15390" max="15390" width="9.85546875" style="238" bestFit="1" customWidth="1"/>
    <col min="15391" max="15392" width="9.140625" style="238"/>
    <col min="15393" max="15393" width="13" style="238" bestFit="1" customWidth="1"/>
    <col min="15394" max="15395" width="10.42578125" style="238" bestFit="1" customWidth="1"/>
    <col min="15396" max="15397" width="9.28515625" style="238" bestFit="1" customWidth="1"/>
    <col min="15398" max="15398" width="11.28515625" style="238" bestFit="1" customWidth="1"/>
    <col min="15399" max="15399" width="12" style="238" customWidth="1"/>
    <col min="15400" max="15400" width="13" style="238" customWidth="1"/>
    <col min="15401" max="15616" width="9.140625" style="238"/>
    <col min="15617" max="15617" width="1.42578125" style="238" customWidth="1"/>
    <col min="15618" max="15618" width="8.140625" style="238" customWidth="1"/>
    <col min="15619" max="15619" width="12.5703125" style="238" customWidth="1"/>
    <col min="15620" max="15620" width="5.5703125" style="238" customWidth="1"/>
    <col min="15621" max="15621" width="11.85546875" style="238" customWidth="1"/>
    <col min="15622" max="15623" width="13.28515625" style="238" customWidth="1"/>
    <col min="15624" max="15624" width="13.7109375" style="238" customWidth="1"/>
    <col min="15625" max="15625" width="13.5703125" style="238" customWidth="1"/>
    <col min="15626" max="15626" width="8.42578125" style="238" customWidth="1"/>
    <col min="15627" max="15627" width="5.28515625" style="238" customWidth="1"/>
    <col min="15628" max="15628" width="10.140625" style="238" customWidth="1"/>
    <col min="15629" max="15629" width="9.140625" style="238"/>
    <col min="15630" max="15630" width="8.7109375" style="238" customWidth="1"/>
    <col min="15631" max="15631" width="2" style="238" customWidth="1"/>
    <col min="15632" max="15632" width="11.42578125" style="238" customWidth="1"/>
    <col min="15633" max="15633" width="11.85546875" style="238" bestFit="1" customWidth="1"/>
    <col min="15634" max="15634" width="9.140625" style="238"/>
    <col min="15635" max="15635" width="10.7109375" style="238" customWidth="1"/>
    <col min="15636" max="15636" width="8.28515625" style="238" customWidth="1"/>
    <col min="15637" max="15637" width="7.42578125" style="238" customWidth="1"/>
    <col min="15638" max="15638" width="9.140625" style="238"/>
    <col min="15639" max="15639" width="12.7109375" style="238" bestFit="1" customWidth="1"/>
    <col min="15640" max="15640" width="11.7109375" style="238" bestFit="1" customWidth="1"/>
    <col min="15641" max="15641" width="11.42578125" style="238" customWidth="1"/>
    <col min="15642" max="15645" width="9.140625" style="238"/>
    <col min="15646" max="15646" width="9.85546875" style="238" bestFit="1" customWidth="1"/>
    <col min="15647" max="15648" width="9.140625" style="238"/>
    <col min="15649" max="15649" width="13" style="238" bestFit="1" customWidth="1"/>
    <col min="15650" max="15651" width="10.42578125" style="238" bestFit="1" customWidth="1"/>
    <col min="15652" max="15653" width="9.28515625" style="238" bestFit="1" customWidth="1"/>
    <col min="15654" max="15654" width="11.28515625" style="238" bestFit="1" customWidth="1"/>
    <col min="15655" max="15655" width="12" style="238" customWidth="1"/>
    <col min="15656" max="15656" width="13" style="238" customWidth="1"/>
    <col min="15657" max="15872" width="9.140625" style="238"/>
    <col min="15873" max="15873" width="1.42578125" style="238" customWidth="1"/>
    <col min="15874" max="15874" width="8.140625" style="238" customWidth="1"/>
    <col min="15875" max="15875" width="12.5703125" style="238" customWidth="1"/>
    <col min="15876" max="15876" width="5.5703125" style="238" customWidth="1"/>
    <col min="15877" max="15877" width="11.85546875" style="238" customWidth="1"/>
    <col min="15878" max="15879" width="13.28515625" style="238" customWidth="1"/>
    <col min="15880" max="15880" width="13.7109375" style="238" customWidth="1"/>
    <col min="15881" max="15881" width="13.5703125" style="238" customWidth="1"/>
    <col min="15882" max="15882" width="8.42578125" style="238" customWidth="1"/>
    <col min="15883" max="15883" width="5.28515625" style="238" customWidth="1"/>
    <col min="15884" max="15884" width="10.140625" style="238" customWidth="1"/>
    <col min="15885" max="15885" width="9.140625" style="238"/>
    <col min="15886" max="15886" width="8.7109375" style="238" customWidth="1"/>
    <col min="15887" max="15887" width="2" style="238" customWidth="1"/>
    <col min="15888" max="15888" width="11.42578125" style="238" customWidth="1"/>
    <col min="15889" max="15889" width="11.85546875" style="238" bestFit="1" customWidth="1"/>
    <col min="15890" max="15890" width="9.140625" style="238"/>
    <col min="15891" max="15891" width="10.7109375" style="238" customWidth="1"/>
    <col min="15892" max="15892" width="8.28515625" style="238" customWidth="1"/>
    <col min="15893" max="15893" width="7.42578125" style="238" customWidth="1"/>
    <col min="15894" max="15894" width="9.140625" style="238"/>
    <col min="15895" max="15895" width="12.7109375" style="238" bestFit="1" customWidth="1"/>
    <col min="15896" max="15896" width="11.7109375" style="238" bestFit="1" customWidth="1"/>
    <col min="15897" max="15897" width="11.42578125" style="238" customWidth="1"/>
    <col min="15898" max="15901" width="9.140625" style="238"/>
    <col min="15902" max="15902" width="9.85546875" style="238" bestFit="1" customWidth="1"/>
    <col min="15903" max="15904" width="9.140625" style="238"/>
    <col min="15905" max="15905" width="13" style="238" bestFit="1" customWidth="1"/>
    <col min="15906" max="15907" width="10.42578125" style="238" bestFit="1" customWidth="1"/>
    <col min="15908" max="15909" width="9.28515625" style="238" bestFit="1" customWidth="1"/>
    <col min="15910" max="15910" width="11.28515625" style="238" bestFit="1" customWidth="1"/>
    <col min="15911" max="15911" width="12" style="238" customWidth="1"/>
    <col min="15912" max="15912" width="13" style="238" customWidth="1"/>
    <col min="15913" max="16128" width="9.140625" style="238"/>
    <col min="16129" max="16129" width="1.42578125" style="238" customWidth="1"/>
    <col min="16130" max="16130" width="8.140625" style="238" customWidth="1"/>
    <col min="16131" max="16131" width="12.5703125" style="238" customWidth="1"/>
    <col min="16132" max="16132" width="5.5703125" style="238" customWidth="1"/>
    <col min="16133" max="16133" width="11.85546875" style="238" customWidth="1"/>
    <col min="16134" max="16135" width="13.28515625" style="238" customWidth="1"/>
    <col min="16136" max="16136" width="13.7109375" style="238" customWidth="1"/>
    <col min="16137" max="16137" width="13.5703125" style="238" customWidth="1"/>
    <col min="16138" max="16138" width="8.42578125" style="238" customWidth="1"/>
    <col min="16139" max="16139" width="5.28515625" style="238" customWidth="1"/>
    <col min="16140" max="16140" width="10.140625" style="238" customWidth="1"/>
    <col min="16141" max="16141" width="9.140625" style="238"/>
    <col min="16142" max="16142" width="8.7109375" style="238" customWidth="1"/>
    <col min="16143" max="16143" width="2" style="238" customWidth="1"/>
    <col min="16144" max="16144" width="11.42578125" style="238" customWidth="1"/>
    <col min="16145" max="16145" width="11.85546875" style="238" bestFit="1" customWidth="1"/>
    <col min="16146" max="16146" width="9.140625" style="238"/>
    <col min="16147" max="16147" width="10.7109375" style="238" customWidth="1"/>
    <col min="16148" max="16148" width="8.28515625" style="238" customWidth="1"/>
    <col min="16149" max="16149" width="7.42578125" style="238" customWidth="1"/>
    <col min="16150" max="16150" width="9.140625" style="238"/>
    <col min="16151" max="16151" width="12.7109375" style="238" bestFit="1" customWidth="1"/>
    <col min="16152" max="16152" width="11.7109375" style="238" bestFit="1" customWidth="1"/>
    <col min="16153" max="16153" width="11.42578125" style="238" customWidth="1"/>
    <col min="16154" max="16157" width="9.140625" style="238"/>
    <col min="16158" max="16158" width="9.85546875" style="238" bestFit="1" customWidth="1"/>
    <col min="16159" max="16160" width="9.140625" style="238"/>
    <col min="16161" max="16161" width="13" style="238" bestFit="1" customWidth="1"/>
    <col min="16162" max="16163" width="10.42578125" style="238" bestFit="1" customWidth="1"/>
    <col min="16164" max="16165" width="9.28515625" style="238" bestFit="1" customWidth="1"/>
    <col min="16166" max="16166" width="11.28515625" style="238" bestFit="1" customWidth="1"/>
    <col min="16167" max="16167" width="12" style="238" customWidth="1"/>
    <col min="16168" max="16168" width="13" style="238" customWidth="1"/>
    <col min="16169" max="16384" width="9.140625" style="238"/>
  </cols>
  <sheetData>
    <row r="1" spans="1:40" ht="14.1" customHeight="1" x14ac:dyDescent="0.2">
      <c r="A1" s="234"/>
      <c r="B1" s="235"/>
      <c r="C1" s="235"/>
      <c r="D1" s="235"/>
      <c r="E1" s="235"/>
      <c r="F1" s="235"/>
      <c r="G1" s="235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7"/>
    </row>
    <row r="2" spans="1:40" ht="14.1" customHeight="1" x14ac:dyDescent="0.2">
      <c r="A2" s="240"/>
      <c r="B2" s="241" t="s">
        <v>88</v>
      </c>
      <c r="C2" s="241" t="s">
        <v>132</v>
      </c>
      <c r="D2" s="241"/>
      <c r="E2" s="241"/>
      <c r="F2" s="241"/>
      <c r="G2" s="241"/>
      <c r="H2" s="242"/>
      <c r="I2" s="242"/>
      <c r="J2" s="242"/>
      <c r="K2" s="242"/>
      <c r="T2" s="242"/>
      <c r="U2" s="243"/>
    </row>
    <row r="3" spans="1:40" ht="14.1" customHeight="1" x14ac:dyDescent="0.2">
      <c r="A3" s="240"/>
      <c r="B3" s="244"/>
      <c r="C3" s="245"/>
      <c r="D3" s="245"/>
      <c r="E3" s="246"/>
      <c r="F3" s="247"/>
      <c r="G3" s="248"/>
      <c r="H3" s="242"/>
      <c r="I3" s="242"/>
      <c r="J3" s="242"/>
      <c r="K3" s="242"/>
      <c r="T3" s="242"/>
      <c r="U3" s="243"/>
      <c r="AD3" s="249"/>
    </row>
    <row r="4" spans="1:40" ht="14.1" customHeight="1" x14ac:dyDescent="0.2">
      <c r="A4" s="240"/>
      <c r="B4" s="246"/>
      <c r="C4" s="242" t="s">
        <v>142</v>
      </c>
      <c r="D4" s="250"/>
      <c r="E4" s="246"/>
      <c r="F4" s="251"/>
      <c r="G4" s="252"/>
      <c r="H4" s="242"/>
      <c r="I4" s="242"/>
      <c r="J4" s="242"/>
      <c r="K4" s="242"/>
      <c r="T4" s="242"/>
      <c r="U4" s="243"/>
      <c r="W4" s="253" t="s">
        <v>57</v>
      </c>
      <c r="X4" s="253" t="s">
        <v>93</v>
      </c>
      <c r="Y4" s="253" t="s">
        <v>94</v>
      </c>
      <c r="Z4" s="254"/>
      <c r="AA4" s="254"/>
      <c r="AB4" s="254"/>
      <c r="AC4" s="254"/>
      <c r="AD4" s="249"/>
    </row>
    <row r="5" spans="1:40" ht="14.1" customHeight="1" x14ac:dyDescent="0.2">
      <c r="A5" s="240"/>
      <c r="B5" s="246"/>
      <c r="C5" s="242" t="s">
        <v>143</v>
      </c>
      <c r="D5" s="242"/>
      <c r="E5" s="255"/>
      <c r="F5" s="256"/>
      <c r="G5" s="256"/>
      <c r="H5" s="242"/>
      <c r="I5" s="242"/>
      <c r="J5" s="242"/>
      <c r="K5" s="242"/>
      <c r="T5" s="242"/>
      <c r="U5" s="243"/>
      <c r="Y5" s="254"/>
      <c r="Z5" s="254"/>
      <c r="AA5" s="254"/>
      <c r="AB5" s="254"/>
      <c r="AC5" s="254"/>
      <c r="AD5" s="249"/>
    </row>
    <row r="6" spans="1:40" ht="14.1" customHeight="1" x14ac:dyDescent="0.2">
      <c r="A6" s="240"/>
      <c r="B6" s="246"/>
      <c r="C6" s="242" t="s">
        <v>144</v>
      </c>
      <c r="D6" s="257"/>
      <c r="E6" s="255"/>
      <c r="F6" s="256"/>
      <c r="G6" s="258"/>
      <c r="H6" s="242"/>
      <c r="I6" s="242"/>
      <c r="J6" s="242"/>
      <c r="K6" s="242"/>
      <c r="T6" s="242"/>
      <c r="U6" s="243"/>
      <c r="W6" s="254">
        <v>299</v>
      </c>
      <c r="X6" s="254">
        <v>0</v>
      </c>
      <c r="Y6" s="254">
        <v>0</v>
      </c>
      <c r="Z6" s="254"/>
      <c r="AA6" s="254"/>
      <c r="AB6" s="254"/>
      <c r="AC6" s="254"/>
      <c r="AD6" s="249"/>
    </row>
    <row r="7" spans="1:40" ht="14.1" customHeight="1" x14ac:dyDescent="0.2">
      <c r="A7" s="240"/>
      <c r="B7" s="258"/>
      <c r="C7" s="242"/>
      <c r="D7" s="246"/>
      <c r="E7" s="246"/>
      <c r="F7" s="249"/>
      <c r="G7" s="249"/>
      <c r="H7" s="242"/>
      <c r="I7" s="242"/>
      <c r="J7" s="242"/>
      <c r="K7" s="242"/>
      <c r="T7" s="242"/>
      <c r="U7" s="243"/>
      <c r="W7" s="254">
        <v>6117</v>
      </c>
      <c r="X7" s="254">
        <v>249</v>
      </c>
      <c r="Y7" s="254">
        <v>0</v>
      </c>
      <c r="Z7" s="254"/>
      <c r="AA7" s="254"/>
      <c r="AB7" s="254"/>
      <c r="AC7" s="254"/>
      <c r="AD7" s="249"/>
    </row>
    <row r="8" spans="1:40" ht="14.1" customHeight="1" x14ac:dyDescent="0.2">
      <c r="A8" s="240"/>
      <c r="B8" s="242"/>
      <c r="C8" s="259" t="s">
        <v>96</v>
      </c>
      <c r="D8" s="259"/>
      <c r="E8" s="255" t="s">
        <v>97</v>
      </c>
      <c r="F8" s="260">
        <f>26500+1500+5000</f>
        <v>33000</v>
      </c>
      <c r="G8" s="260"/>
      <c r="H8" s="242" t="s">
        <v>98</v>
      </c>
      <c r="I8" s="242"/>
      <c r="J8" s="242"/>
      <c r="K8" s="242"/>
      <c r="T8" s="242"/>
      <c r="U8" s="243"/>
      <c r="W8" s="254">
        <v>0</v>
      </c>
      <c r="X8" s="254">
        <v>0</v>
      </c>
      <c r="Y8" s="254">
        <v>0</v>
      </c>
      <c r="Z8" s="254"/>
      <c r="AA8" s="254"/>
      <c r="AB8" s="254"/>
      <c r="AC8" s="254"/>
      <c r="AD8" s="249"/>
      <c r="AG8" s="261"/>
      <c r="AH8" s="261"/>
      <c r="AI8" s="261"/>
      <c r="AJ8" s="261"/>
      <c r="AK8" s="261"/>
      <c r="AL8" s="261"/>
      <c r="AM8" s="262"/>
      <c r="AN8" s="262"/>
    </row>
    <row r="9" spans="1:40" ht="14.1" customHeight="1" x14ac:dyDescent="0.2">
      <c r="A9" s="240"/>
      <c r="B9" s="242"/>
      <c r="C9" s="242"/>
      <c r="D9" s="242"/>
      <c r="E9" s="242"/>
      <c r="F9" s="242"/>
      <c r="G9" s="242"/>
      <c r="H9" s="242"/>
      <c r="I9" s="242"/>
      <c r="J9" s="242"/>
      <c r="K9" s="242"/>
      <c r="T9" s="242"/>
      <c r="U9" s="243"/>
      <c r="W9" s="254">
        <v>10840</v>
      </c>
      <c r="X9" s="254">
        <v>343</v>
      </c>
      <c r="Y9" s="254">
        <v>0</v>
      </c>
      <c r="Z9" s="254"/>
      <c r="AA9" s="254"/>
      <c r="AB9" s="254"/>
      <c r="AC9" s="254"/>
      <c r="AD9" s="249"/>
      <c r="AG9" s="261"/>
      <c r="AH9" s="261"/>
      <c r="AI9" s="261"/>
      <c r="AJ9" s="261"/>
      <c r="AK9" s="261"/>
      <c r="AL9" s="261"/>
      <c r="AM9" s="262"/>
      <c r="AN9" s="262"/>
    </row>
    <row r="10" spans="1:40" ht="14.1" customHeight="1" x14ac:dyDescent="0.2">
      <c r="A10" s="240"/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T10" s="242"/>
      <c r="U10" s="243"/>
      <c r="W10" s="254">
        <v>0</v>
      </c>
      <c r="X10" s="254">
        <v>0</v>
      </c>
      <c r="Y10" s="254">
        <v>0</v>
      </c>
      <c r="Z10" s="254"/>
      <c r="AA10" s="254"/>
      <c r="AB10" s="254"/>
      <c r="AC10" s="254"/>
      <c r="AD10" s="249"/>
      <c r="AG10" s="261"/>
      <c r="AH10" s="261"/>
      <c r="AI10" s="261"/>
      <c r="AJ10" s="261"/>
      <c r="AK10" s="261"/>
      <c r="AL10" s="261"/>
      <c r="AM10" s="262"/>
      <c r="AN10" s="262"/>
    </row>
    <row r="11" spans="1:40" ht="14.1" customHeight="1" x14ac:dyDescent="0.2">
      <c r="A11" s="240"/>
      <c r="B11" s="241" t="s">
        <v>99</v>
      </c>
      <c r="C11" s="245" t="s">
        <v>100</v>
      </c>
      <c r="D11" s="245"/>
      <c r="E11" s="245"/>
      <c r="F11" s="249"/>
      <c r="G11" s="249"/>
      <c r="H11" s="242"/>
      <c r="I11" s="263"/>
      <c r="J11" s="264"/>
      <c r="K11" s="242"/>
      <c r="T11" s="242"/>
      <c r="U11" s="243"/>
      <c r="W11" s="239">
        <v>109</v>
      </c>
      <c r="X11" s="239">
        <v>2810.2</v>
      </c>
      <c r="Y11" s="239">
        <v>582.75</v>
      </c>
      <c r="Z11" s="254"/>
      <c r="AA11" s="254"/>
      <c r="AB11" s="254"/>
      <c r="AC11" s="254"/>
      <c r="AD11" s="249"/>
      <c r="AF11" s="265"/>
      <c r="AG11" s="266"/>
      <c r="AH11" s="266"/>
      <c r="AI11" s="261"/>
      <c r="AJ11" s="261"/>
      <c r="AK11" s="261"/>
      <c r="AL11" s="261"/>
      <c r="AM11" s="262"/>
      <c r="AN11" s="262"/>
    </row>
    <row r="12" spans="1:40" ht="14.1" customHeight="1" x14ac:dyDescent="0.2">
      <c r="A12" s="240"/>
      <c r="B12" s="258"/>
      <c r="C12" s="246"/>
      <c r="D12" s="246"/>
      <c r="E12" s="246"/>
      <c r="F12" s="249"/>
      <c r="G12" s="249"/>
      <c r="H12" s="242"/>
      <c r="I12" s="263"/>
      <c r="J12" s="267"/>
      <c r="K12" s="242"/>
      <c r="T12" s="242"/>
      <c r="U12" s="243"/>
      <c r="W12" s="254"/>
      <c r="X12" s="254"/>
      <c r="Y12" s="254"/>
      <c r="Z12" s="254"/>
      <c r="AA12" s="254"/>
      <c r="AB12" s="254"/>
      <c r="AC12" s="254"/>
      <c r="AD12" s="249"/>
      <c r="AE12" s="265"/>
      <c r="AF12" s="265"/>
      <c r="AG12" s="266"/>
      <c r="AH12" s="266"/>
      <c r="AI12" s="261"/>
      <c r="AJ12" s="261"/>
      <c r="AK12" s="261"/>
      <c r="AL12" s="261"/>
      <c r="AM12" s="262"/>
      <c r="AN12" s="262"/>
    </row>
    <row r="13" spans="1:40" ht="21" customHeight="1" x14ac:dyDescent="0.2">
      <c r="A13" s="240"/>
      <c r="B13" s="245"/>
      <c r="C13" s="268" t="s">
        <v>101</v>
      </c>
      <c r="D13" s="269"/>
      <c r="E13" s="270" t="s">
        <v>102</v>
      </c>
      <c r="F13" s="270" t="s">
        <v>103</v>
      </c>
      <c r="G13" s="271" t="s">
        <v>104</v>
      </c>
      <c r="H13" s="270" t="s">
        <v>105</v>
      </c>
      <c r="I13" s="270" t="s">
        <v>96</v>
      </c>
      <c r="J13" s="242"/>
      <c r="K13" s="242"/>
      <c r="T13" s="272"/>
      <c r="U13" s="243"/>
      <c r="W13" s="254"/>
      <c r="X13" s="254"/>
      <c r="Y13" s="254"/>
      <c r="Z13" s="254"/>
      <c r="AA13" s="254"/>
      <c r="AB13" s="254"/>
      <c r="AC13" s="254"/>
      <c r="AD13" s="249"/>
      <c r="AE13" s="265"/>
      <c r="AF13" s="265"/>
      <c r="AG13" s="266"/>
      <c r="AH13" s="266"/>
      <c r="AI13" s="261"/>
      <c r="AJ13" s="261"/>
      <c r="AK13" s="261"/>
      <c r="AL13" s="261"/>
      <c r="AM13" s="262"/>
      <c r="AN13" s="262"/>
    </row>
    <row r="14" spans="1:40" ht="14.1" customHeight="1" x14ac:dyDescent="0.2">
      <c r="A14" s="240"/>
      <c r="B14" s="245"/>
      <c r="C14" s="268"/>
      <c r="D14" s="269"/>
      <c r="E14" s="270"/>
      <c r="F14" s="270"/>
      <c r="G14" s="271"/>
      <c r="H14" s="270"/>
      <c r="I14" s="270"/>
      <c r="J14" s="242"/>
      <c r="K14" s="242"/>
      <c r="L14" s="273"/>
      <c r="M14" s="242"/>
      <c r="N14" s="242"/>
      <c r="O14" s="242"/>
      <c r="P14" s="249"/>
      <c r="Q14" s="249"/>
      <c r="R14" s="242"/>
      <c r="S14" s="242"/>
      <c r="T14" s="242"/>
      <c r="U14" s="243"/>
      <c r="W14" s="254"/>
      <c r="X14" s="254"/>
      <c r="Y14" s="254"/>
      <c r="Z14" s="254"/>
      <c r="AA14" s="254"/>
      <c r="AB14" s="254"/>
      <c r="AC14" s="254"/>
      <c r="AD14" s="249"/>
      <c r="AE14" s="274"/>
      <c r="AF14" s="265"/>
      <c r="AG14" s="266"/>
      <c r="AH14" s="266"/>
      <c r="AI14" s="261"/>
      <c r="AJ14" s="261"/>
      <c r="AK14" s="261"/>
      <c r="AL14" s="261"/>
      <c r="AM14" s="262"/>
      <c r="AN14" s="262"/>
    </row>
    <row r="15" spans="1:40" ht="14.1" customHeight="1" x14ac:dyDescent="0.2">
      <c r="A15" s="240"/>
      <c r="B15" s="245"/>
      <c r="C15" s="275" t="s">
        <v>106</v>
      </c>
      <c r="D15" s="276"/>
      <c r="E15" s="277">
        <f>'Resumo dos Cortes'!H36</f>
        <v>7504.98</v>
      </c>
      <c r="F15" s="278">
        <f>Distribuição!AB33</f>
        <v>24147.14</v>
      </c>
      <c r="G15" s="279">
        <f>'Resumo dos Cortes'!I36</f>
        <v>0</v>
      </c>
      <c r="H15" s="278" t="s">
        <v>13</v>
      </c>
      <c r="I15" s="278">
        <f>SUM(E15:H15)</f>
        <v>31652.12</v>
      </c>
      <c r="J15" s="280"/>
      <c r="K15" s="281"/>
      <c r="T15" s="242"/>
      <c r="U15" s="243"/>
      <c r="W15" s="254"/>
      <c r="X15" s="254"/>
      <c r="Y15" s="254"/>
      <c r="Z15" s="254"/>
      <c r="AA15" s="254"/>
      <c r="AB15" s="254"/>
      <c r="AC15" s="254"/>
      <c r="AD15" s="249"/>
      <c r="AF15" s="265"/>
      <c r="AG15" s="266"/>
      <c r="AH15" s="266"/>
      <c r="AI15" s="261"/>
      <c r="AJ15" s="261"/>
      <c r="AK15" s="261"/>
      <c r="AL15" s="261"/>
      <c r="AM15" s="262"/>
      <c r="AN15" s="262"/>
    </row>
    <row r="16" spans="1:40" ht="14.1" customHeight="1" x14ac:dyDescent="0.2">
      <c r="A16" s="240"/>
      <c r="B16" s="245"/>
      <c r="C16" s="282"/>
      <c r="D16" s="283"/>
      <c r="E16" s="277"/>
      <c r="F16" s="277"/>
      <c r="G16" s="279"/>
      <c r="H16" s="278"/>
      <c r="I16" s="278"/>
      <c r="J16" s="242"/>
      <c r="K16" s="247"/>
      <c r="L16" s="284"/>
      <c r="M16" s="242"/>
      <c r="N16" s="242"/>
      <c r="O16" s="285"/>
      <c r="P16" s="286"/>
      <c r="Q16" s="249"/>
      <c r="R16" s="284"/>
      <c r="S16" s="287"/>
      <c r="T16" s="242"/>
      <c r="U16" s="243"/>
      <c r="W16" s="254"/>
      <c r="X16" s="254"/>
      <c r="Y16" s="254"/>
      <c r="Z16" s="254"/>
      <c r="AA16" s="254"/>
      <c r="AB16" s="254"/>
      <c r="AC16" s="254"/>
      <c r="AG16" s="266"/>
      <c r="AH16" s="266"/>
      <c r="AI16" s="261"/>
      <c r="AJ16" s="261"/>
      <c r="AK16" s="261"/>
      <c r="AL16" s="261"/>
      <c r="AM16" s="262"/>
      <c r="AN16" s="262"/>
    </row>
    <row r="17" spans="1:40" ht="14.1" customHeight="1" x14ac:dyDescent="0.2">
      <c r="A17" s="240"/>
      <c r="B17" s="258"/>
      <c r="C17" s="271" t="s">
        <v>107</v>
      </c>
      <c r="D17" s="271"/>
      <c r="E17" s="288">
        <f>SUM(E15:E16)</f>
        <v>7504.98</v>
      </c>
      <c r="F17" s="288">
        <f>SUM(F15:F16)</f>
        <v>24147.14</v>
      </c>
      <c r="G17" s="288">
        <f>SUM(G15:G16)</f>
        <v>0</v>
      </c>
      <c r="H17" s="288" t="s">
        <v>13</v>
      </c>
      <c r="I17" s="288">
        <f>SUM(E17:H17)</f>
        <v>31652.12</v>
      </c>
      <c r="J17" s="281"/>
      <c r="K17" s="242"/>
      <c r="L17" s="272"/>
      <c r="M17" s="242"/>
      <c r="N17" s="242"/>
      <c r="O17" s="285"/>
      <c r="P17" s="286"/>
      <c r="Q17" s="249"/>
      <c r="R17" s="242"/>
      <c r="S17" s="287"/>
      <c r="T17" s="242"/>
      <c r="U17" s="243"/>
      <c r="W17" s="254"/>
      <c r="X17" s="254"/>
      <c r="Y17" s="254"/>
      <c r="Z17" s="254"/>
      <c r="AA17" s="254"/>
      <c r="AB17" s="254"/>
      <c r="AC17" s="254"/>
      <c r="AD17" s="265"/>
      <c r="AE17" s="265"/>
      <c r="AF17" s="265"/>
      <c r="AG17" s="266"/>
      <c r="AH17" s="266"/>
      <c r="AI17" s="261"/>
      <c r="AJ17" s="261"/>
      <c r="AK17" s="261"/>
      <c r="AL17" s="261"/>
      <c r="AM17" s="262"/>
      <c r="AN17" s="262"/>
    </row>
    <row r="18" spans="1:40" ht="14.1" customHeight="1" x14ac:dyDescent="0.2">
      <c r="A18" s="240"/>
      <c r="B18" s="258"/>
      <c r="C18" s="242"/>
      <c r="D18" s="242"/>
      <c r="E18" s="289" t="s">
        <v>96</v>
      </c>
      <c r="F18" s="290" t="s">
        <v>97</v>
      </c>
      <c r="G18" s="291">
        <f>I17</f>
        <v>31652.12</v>
      </c>
      <c r="H18" s="292" t="s">
        <v>108</v>
      </c>
      <c r="I18" s="242"/>
      <c r="J18" s="281"/>
      <c r="K18" s="242"/>
      <c r="L18" s="272"/>
      <c r="M18" s="250"/>
      <c r="N18" s="242"/>
      <c r="O18" s="285"/>
      <c r="P18" s="286"/>
      <c r="Q18" s="249"/>
      <c r="R18" s="242"/>
      <c r="S18" s="287"/>
      <c r="T18" s="293"/>
      <c r="U18" s="243"/>
      <c r="AB18" s="254"/>
      <c r="AF18" s="265"/>
      <c r="AG18" s="266"/>
      <c r="AH18" s="266"/>
      <c r="AI18" s="261"/>
      <c r="AJ18" s="261"/>
      <c r="AK18" s="261"/>
      <c r="AL18" s="261"/>
      <c r="AM18" s="262"/>
      <c r="AN18" s="262"/>
    </row>
    <row r="19" spans="1:40" ht="14.1" customHeight="1" x14ac:dyDescent="0.2">
      <c r="A19" s="240"/>
      <c r="B19" s="246"/>
      <c r="C19" s="242"/>
      <c r="D19" s="242"/>
      <c r="E19" s="242"/>
      <c r="F19" s="242"/>
      <c r="G19" s="242"/>
      <c r="H19" s="242"/>
      <c r="I19" s="242"/>
      <c r="J19" s="242"/>
      <c r="K19" s="242"/>
      <c r="L19" s="272"/>
      <c r="M19" s="250"/>
      <c r="N19" s="294"/>
      <c r="O19" s="250"/>
      <c r="P19" s="286"/>
      <c r="Q19" s="249"/>
      <c r="R19" s="242"/>
      <c r="S19" s="287"/>
      <c r="T19" s="293"/>
      <c r="U19" s="243"/>
      <c r="Y19" s="295"/>
      <c r="Z19" s="295"/>
      <c r="AA19" s="295"/>
      <c r="AB19" s="295"/>
      <c r="AE19" s="265"/>
      <c r="AF19" s="265"/>
      <c r="AG19" s="266"/>
      <c r="AH19" s="266"/>
      <c r="AI19" s="261"/>
      <c r="AJ19" s="261"/>
      <c r="AK19" s="261"/>
      <c r="AL19" s="261"/>
      <c r="AM19" s="262"/>
      <c r="AN19" s="262"/>
    </row>
    <row r="20" spans="1:40" ht="14.1" customHeight="1" x14ac:dyDescent="0.2">
      <c r="A20" s="240"/>
      <c r="B20" s="241" t="s">
        <v>109</v>
      </c>
      <c r="C20" s="245" t="s">
        <v>110</v>
      </c>
      <c r="D20" s="246"/>
      <c r="E20" s="246"/>
      <c r="F20" s="242"/>
      <c r="G20" s="242"/>
      <c r="H20" s="242"/>
      <c r="I20" s="242"/>
      <c r="J20" s="242"/>
      <c r="K20" s="242"/>
      <c r="L20" s="272"/>
      <c r="M20" s="257"/>
      <c r="N20" s="257"/>
      <c r="O20" s="290"/>
      <c r="P20" s="242"/>
      <c r="Q20" s="256"/>
      <c r="R20" s="245"/>
      <c r="S20" s="287"/>
      <c r="T20" s="242"/>
      <c r="U20" s="243"/>
      <c r="AE20" s="274"/>
      <c r="AF20" s="265"/>
      <c r="AG20" s="266"/>
      <c r="AH20" s="266"/>
      <c r="AI20" s="261"/>
      <c r="AJ20" s="261"/>
      <c r="AK20" s="261"/>
      <c r="AL20" s="261"/>
      <c r="AM20" s="262"/>
      <c r="AN20" s="262"/>
    </row>
    <row r="21" spans="1:40" ht="14.1" customHeight="1" x14ac:dyDescent="0.2">
      <c r="A21" s="240"/>
      <c r="B21" s="242"/>
      <c r="C21" s="242"/>
      <c r="D21" s="245"/>
      <c r="E21" s="245"/>
      <c r="F21" s="242"/>
      <c r="G21" s="242"/>
      <c r="H21" s="242"/>
      <c r="I21" s="242"/>
      <c r="J21" s="242"/>
      <c r="K21" s="242"/>
      <c r="L21" s="272"/>
      <c r="M21" s="250"/>
      <c r="N21" s="294"/>
      <c r="O21" s="250"/>
      <c r="P21" s="286"/>
      <c r="Q21" s="249"/>
      <c r="S21" s="287"/>
      <c r="T21" s="242"/>
      <c r="U21" s="243"/>
      <c r="AG21" s="266"/>
      <c r="AH21" s="266"/>
      <c r="AI21" s="266"/>
      <c r="AJ21" s="266"/>
      <c r="AK21" s="266"/>
      <c r="AL21" s="266"/>
      <c r="AM21" s="266"/>
      <c r="AN21" s="262"/>
    </row>
    <row r="22" spans="1:40" ht="23.25" customHeight="1" x14ac:dyDescent="0.2">
      <c r="A22" s="240"/>
      <c r="B22" s="258"/>
      <c r="C22" s="268" t="s">
        <v>101</v>
      </c>
      <c r="D22" s="269"/>
      <c r="E22" s="270" t="s">
        <v>57</v>
      </c>
      <c r="F22" s="271" t="s">
        <v>113</v>
      </c>
      <c r="G22" s="270" t="s">
        <v>114</v>
      </c>
      <c r="H22" s="270" t="s">
        <v>96</v>
      </c>
      <c r="I22" s="242"/>
      <c r="J22" s="242"/>
      <c r="K22" s="242"/>
      <c r="R22" s="242"/>
      <c r="S22" s="287"/>
      <c r="T22" s="242"/>
      <c r="U22" s="243"/>
      <c r="W22" s="254"/>
      <c r="Y22" s="296"/>
      <c r="Z22" s="274"/>
      <c r="AH22" s="265"/>
      <c r="AI22" s="265"/>
    </row>
    <row r="23" spans="1:40" ht="14.1" customHeight="1" x14ac:dyDescent="0.2">
      <c r="A23" s="240"/>
      <c r="B23" s="245"/>
      <c r="C23" s="268"/>
      <c r="D23" s="269"/>
      <c r="E23" s="270"/>
      <c r="F23" s="271"/>
      <c r="G23" s="270"/>
      <c r="H23" s="270"/>
      <c r="I23" s="242"/>
      <c r="J23" s="242"/>
      <c r="K23" s="242"/>
      <c r="T23" s="242"/>
      <c r="U23" s="243"/>
      <c r="W23" s="254"/>
      <c r="Y23" s="296"/>
      <c r="Z23" s="297"/>
      <c r="AA23" s="265"/>
      <c r="AB23" s="265"/>
      <c r="AC23" s="265"/>
      <c r="AD23" s="265"/>
      <c r="AE23" s="265"/>
      <c r="AG23" s="265"/>
      <c r="AH23" s="265"/>
      <c r="AI23" s="265"/>
    </row>
    <row r="24" spans="1:40" x14ac:dyDescent="0.2">
      <c r="A24" s="240"/>
      <c r="B24" s="245"/>
      <c r="C24" s="275" t="s">
        <v>106</v>
      </c>
      <c r="D24" s="276"/>
      <c r="E24" s="277">
        <f>F15-F24</f>
        <v>24147.14</v>
      </c>
      <c r="F24" s="298">
        <f>G15</f>
        <v>0</v>
      </c>
      <c r="G24" s="277">
        <f>E15+G15</f>
        <v>7504.98</v>
      </c>
      <c r="H24" s="278">
        <f>SUM(E24:G24)</f>
        <v>31652.12</v>
      </c>
      <c r="I24" s="242"/>
      <c r="J24" s="242"/>
      <c r="K24" s="242"/>
      <c r="R24" s="242"/>
      <c r="S24" s="287"/>
      <c r="T24" s="242"/>
      <c r="U24" s="243"/>
      <c r="W24" s="254"/>
      <c r="AA24" s="299"/>
      <c r="AB24" s="299"/>
      <c r="AG24" s="265"/>
      <c r="AH24" s="265"/>
      <c r="AI24" s="265"/>
    </row>
    <row r="25" spans="1:40" ht="14.1" customHeight="1" x14ac:dyDescent="0.2">
      <c r="A25" s="240"/>
      <c r="B25" s="258"/>
      <c r="C25" s="275"/>
      <c r="D25" s="276"/>
      <c r="E25" s="277"/>
      <c r="F25" s="278"/>
      <c r="G25" s="277"/>
      <c r="H25" s="278"/>
      <c r="I25" s="242"/>
      <c r="J25" s="242"/>
      <c r="K25" s="242"/>
      <c r="R25" s="242"/>
      <c r="T25" s="242"/>
      <c r="U25" s="243"/>
      <c r="W25" s="254"/>
      <c r="Z25" s="300"/>
      <c r="AA25" s="300"/>
      <c r="AB25" s="301"/>
      <c r="AD25" s="302"/>
      <c r="AE25" s="274"/>
      <c r="AG25" s="265"/>
      <c r="AH25" s="265"/>
      <c r="AI25" s="265"/>
    </row>
    <row r="26" spans="1:40" ht="14.1" customHeight="1" x14ac:dyDescent="0.2">
      <c r="A26" s="240"/>
      <c r="B26" s="258"/>
      <c r="C26" s="271" t="s">
        <v>107</v>
      </c>
      <c r="D26" s="271"/>
      <c r="E26" s="288">
        <f>SUM(E24:E25)</f>
        <v>24147.14</v>
      </c>
      <c r="F26" s="288">
        <f>SUM(F24:F25)</f>
        <v>0</v>
      </c>
      <c r="G26" s="288">
        <f>SUM(G24:G25)</f>
        <v>7504.98</v>
      </c>
      <c r="H26" s="288">
        <f>SUM(E26:G26)</f>
        <v>31652.12</v>
      </c>
      <c r="I26" s="242"/>
      <c r="J26" s="242"/>
      <c r="K26" s="242"/>
      <c r="R26" s="242"/>
      <c r="T26" s="242"/>
      <c r="U26" s="243"/>
      <c r="W26" s="254"/>
      <c r="AF26" s="265"/>
      <c r="AG26" s="265"/>
      <c r="AH26" s="265"/>
      <c r="AI26" s="265"/>
    </row>
    <row r="27" spans="1:40" ht="14.1" customHeight="1" x14ac:dyDescent="0.2">
      <c r="A27" s="240"/>
      <c r="B27" s="242"/>
      <c r="C27" s="242"/>
      <c r="D27" s="242"/>
      <c r="E27" s="289" t="s">
        <v>96</v>
      </c>
      <c r="F27" s="290" t="s">
        <v>97</v>
      </c>
      <c r="G27" s="291">
        <f>H26</f>
        <v>31652.12</v>
      </c>
      <c r="H27" s="292" t="s">
        <v>108</v>
      </c>
      <c r="I27" s="242"/>
      <c r="J27" s="264"/>
      <c r="K27" s="242"/>
      <c r="U27" s="243"/>
      <c r="W27" s="254"/>
      <c r="Y27" s="296"/>
      <c r="Z27" s="274"/>
      <c r="AD27" s="265"/>
      <c r="AE27" s="265"/>
      <c r="AF27" s="265"/>
      <c r="AH27" s="265"/>
      <c r="AI27" s="265"/>
    </row>
    <row r="28" spans="1:40" ht="14.1" customHeight="1" x14ac:dyDescent="0.2">
      <c r="A28" s="240"/>
      <c r="B28" s="242"/>
      <c r="C28" s="303"/>
      <c r="D28" s="303"/>
      <c r="E28" s="255"/>
      <c r="F28" s="256"/>
      <c r="G28" s="256"/>
      <c r="H28" s="242"/>
      <c r="I28" s="267"/>
      <c r="J28" s="264"/>
      <c r="K28" s="242"/>
      <c r="R28" s="242"/>
      <c r="S28" s="242"/>
      <c r="T28" s="242"/>
      <c r="U28" s="243"/>
      <c r="W28" s="254"/>
      <c r="Y28" s="304"/>
      <c r="Z28" s="300"/>
      <c r="AA28" s="300"/>
      <c r="AB28" s="301"/>
      <c r="AD28" s="302"/>
      <c r="AE28" s="274"/>
      <c r="AG28" s="265"/>
      <c r="AH28" s="265"/>
      <c r="AI28" s="265"/>
    </row>
    <row r="29" spans="1:40" ht="14.1" customHeight="1" x14ac:dyDescent="0.2">
      <c r="A29" s="240"/>
      <c r="B29" s="242"/>
      <c r="C29" s="242"/>
      <c r="D29" s="242"/>
      <c r="E29" s="242"/>
      <c r="F29" s="242"/>
      <c r="G29" s="242"/>
      <c r="H29" s="242"/>
      <c r="I29" s="242"/>
      <c r="J29" s="264"/>
      <c r="K29" s="242"/>
      <c r="R29" s="242"/>
      <c r="S29" s="242"/>
      <c r="T29" s="242"/>
      <c r="U29" s="243"/>
      <c r="W29" s="254"/>
      <c r="AG29" s="265"/>
      <c r="AH29" s="265"/>
      <c r="AI29" s="265"/>
    </row>
    <row r="30" spans="1:40" ht="14.1" customHeight="1" x14ac:dyDescent="0.2">
      <c r="A30" s="240"/>
      <c r="B30" s="241" t="s">
        <v>89</v>
      </c>
      <c r="C30" s="245" t="s">
        <v>90</v>
      </c>
      <c r="D30" s="245"/>
      <c r="E30" s="245"/>
      <c r="F30" s="242"/>
      <c r="G30" s="242"/>
      <c r="H30" s="242"/>
      <c r="I30" s="242"/>
      <c r="J30" s="264"/>
      <c r="K30" s="242"/>
      <c r="R30" s="242"/>
      <c r="S30" s="242"/>
      <c r="T30" s="242"/>
      <c r="U30" s="243"/>
      <c r="W30" s="254"/>
      <c r="Y30" s="296"/>
      <c r="Z30" s="274"/>
      <c r="AA30" s="265"/>
      <c r="AB30" s="265"/>
      <c r="AC30" s="265"/>
      <c r="AD30" s="265"/>
      <c r="AE30" s="274"/>
      <c r="AG30" s="265"/>
      <c r="AH30" s="265"/>
      <c r="AI30" s="265"/>
    </row>
    <row r="31" spans="1:40" ht="14.1" customHeight="1" x14ac:dyDescent="0.2">
      <c r="A31" s="240"/>
      <c r="B31" s="242"/>
      <c r="C31" s="242"/>
      <c r="D31" s="242"/>
      <c r="E31" s="242"/>
      <c r="F31" s="242"/>
      <c r="G31" s="242"/>
      <c r="H31" s="242"/>
      <c r="I31" s="242"/>
      <c r="J31" s="305"/>
      <c r="K31" s="242"/>
      <c r="R31" s="242"/>
      <c r="S31" s="242"/>
      <c r="T31" s="242"/>
      <c r="U31" s="243"/>
      <c r="W31" s="306"/>
      <c r="X31" s="306"/>
      <c r="Z31" s="265"/>
      <c r="AA31" s="265"/>
      <c r="AB31" s="307"/>
      <c r="AC31" s="297"/>
      <c r="AD31" s="297"/>
      <c r="AF31" s="265"/>
      <c r="AG31" s="265"/>
      <c r="AH31" s="265"/>
      <c r="AI31" s="265"/>
    </row>
    <row r="32" spans="1:40" ht="14.1" customHeight="1" x14ac:dyDescent="0.2">
      <c r="A32" s="240"/>
      <c r="B32" s="273" t="s">
        <v>91</v>
      </c>
      <c r="C32" s="242" t="s">
        <v>92</v>
      </c>
      <c r="D32" s="242"/>
      <c r="E32" s="242"/>
      <c r="F32" s="249"/>
      <c r="G32" s="249"/>
      <c r="H32" s="242"/>
      <c r="I32" s="242"/>
      <c r="J32" s="308"/>
      <c r="K32" s="242"/>
      <c r="L32" s="309"/>
      <c r="M32" s="310"/>
      <c r="N32" s="311"/>
      <c r="O32" s="311"/>
      <c r="P32" s="311"/>
      <c r="Q32" s="311"/>
      <c r="R32" s="311"/>
      <c r="S32" s="311"/>
      <c r="T32" s="242"/>
      <c r="U32" s="243"/>
      <c r="W32" s="306"/>
      <c r="X32" s="306"/>
      <c r="Y32" s="312"/>
      <c r="AF32" s="265"/>
      <c r="AG32" s="265"/>
      <c r="AH32" s="265"/>
      <c r="AI32" s="265"/>
    </row>
    <row r="33" spans="1:35" ht="14.1" customHeight="1" x14ac:dyDescent="0.2">
      <c r="A33" s="240"/>
      <c r="I33" s="238" t="s">
        <v>141</v>
      </c>
      <c r="J33" s="313"/>
      <c r="K33" s="242"/>
      <c r="L33" s="309"/>
      <c r="M33" s="314"/>
      <c r="N33" s="314"/>
      <c r="O33" s="315"/>
      <c r="P33" s="316"/>
      <c r="Q33" s="317"/>
      <c r="R33" s="310"/>
      <c r="S33" s="311"/>
      <c r="T33" s="242"/>
      <c r="U33" s="243"/>
      <c r="W33" s="306"/>
      <c r="X33" s="306"/>
      <c r="Y33" s="312"/>
      <c r="Z33" s="300"/>
      <c r="AA33" s="300"/>
      <c r="AB33" s="301"/>
      <c r="AD33" s="302"/>
      <c r="AE33" s="274"/>
      <c r="AF33" s="265"/>
      <c r="AH33" s="265"/>
      <c r="AI33" s="265"/>
    </row>
    <row r="34" spans="1:35" ht="14.1" customHeight="1" x14ac:dyDescent="0.2">
      <c r="A34" s="240"/>
      <c r="B34" s="284"/>
      <c r="C34" s="242" t="s">
        <v>137</v>
      </c>
      <c r="D34" s="242"/>
      <c r="E34" s="285" t="s">
        <v>95</v>
      </c>
      <c r="F34" s="286"/>
      <c r="G34" s="249">
        <f>Distribuição!AB33</f>
        <v>24147.14</v>
      </c>
      <c r="H34" s="284" t="s">
        <v>133</v>
      </c>
      <c r="I34" s="287"/>
      <c r="J34" s="308"/>
      <c r="K34" s="308"/>
      <c r="T34" s="242"/>
      <c r="U34" s="243"/>
      <c r="W34" s="306"/>
      <c r="X34" s="306"/>
      <c r="Y34" s="312"/>
      <c r="Z34" s="300"/>
      <c r="AA34" s="300"/>
      <c r="AB34" s="301"/>
      <c r="AC34" s="302"/>
      <c r="AD34" s="302"/>
      <c r="AE34" s="274"/>
      <c r="AF34" s="265"/>
      <c r="AG34" s="265"/>
      <c r="AH34" s="265"/>
      <c r="AI34" s="265"/>
    </row>
    <row r="35" spans="1:35" ht="14.1" customHeight="1" x14ac:dyDescent="0.2">
      <c r="A35" s="240"/>
      <c r="B35" s="272"/>
      <c r="C35" s="242" t="s">
        <v>138</v>
      </c>
      <c r="D35" s="242"/>
      <c r="E35" s="285" t="s">
        <v>95</v>
      </c>
      <c r="F35" s="286"/>
      <c r="G35" s="249">
        <f>Distribuição!AR33</f>
        <v>7504.98</v>
      </c>
      <c r="H35" s="242" t="s">
        <v>133</v>
      </c>
      <c r="I35" s="287"/>
      <c r="J35" s="308"/>
      <c r="K35" s="318"/>
      <c r="L35" s="245" t="s">
        <v>118</v>
      </c>
      <c r="M35" s="244"/>
      <c r="N35" s="244" t="s">
        <v>119</v>
      </c>
      <c r="O35" s="245" t="s">
        <v>120</v>
      </c>
      <c r="P35" s="242"/>
      <c r="Q35" s="242"/>
      <c r="R35" s="242"/>
      <c r="S35" s="308"/>
      <c r="T35" s="242"/>
      <c r="U35" s="243"/>
      <c r="W35" s="306"/>
      <c r="X35" s="306"/>
      <c r="Y35" s="312"/>
    </row>
    <row r="36" spans="1:35" ht="14.1" customHeight="1" x14ac:dyDescent="0.2">
      <c r="A36" s="240"/>
      <c r="B36" s="272"/>
      <c r="C36" s="242"/>
      <c r="D36" s="242"/>
      <c r="E36" s="285"/>
      <c r="F36" s="286"/>
      <c r="G36" s="249"/>
      <c r="H36" s="242"/>
      <c r="I36" s="287"/>
      <c r="J36" s="308"/>
      <c r="K36" s="267"/>
      <c r="L36" s="242"/>
      <c r="M36" s="242"/>
      <c r="N36" s="284"/>
      <c r="O36" s="319" t="s">
        <v>121</v>
      </c>
      <c r="P36" s="320"/>
      <c r="Q36" s="321" t="s">
        <v>122</v>
      </c>
      <c r="R36" s="322"/>
      <c r="S36" s="313"/>
      <c r="T36" s="242"/>
      <c r="U36" s="243"/>
      <c r="W36" s="306"/>
      <c r="X36" s="306"/>
      <c r="Y36" s="312"/>
    </row>
    <row r="37" spans="1:35" ht="14.1" customHeight="1" x14ac:dyDescent="0.2">
      <c r="A37" s="240"/>
      <c r="B37" s="272"/>
      <c r="C37" s="257" t="s">
        <v>96</v>
      </c>
      <c r="D37" s="257"/>
      <c r="E37" s="290" t="s">
        <v>97</v>
      </c>
      <c r="F37" s="242"/>
      <c r="G37" s="256">
        <f>SUM($G$33:$G$36)</f>
        <v>31652.12</v>
      </c>
      <c r="H37" s="245" t="s">
        <v>145</v>
      </c>
      <c r="I37" s="287"/>
      <c r="J37" s="242"/>
      <c r="K37" s="242"/>
      <c r="L37" s="242"/>
      <c r="M37" s="242"/>
      <c r="N37" s="284"/>
      <c r="O37" s="323"/>
      <c r="P37" s="324"/>
      <c r="Q37" s="270" t="s">
        <v>123</v>
      </c>
      <c r="R37" s="270" t="s">
        <v>124</v>
      </c>
      <c r="S37" s="308"/>
      <c r="T37" s="242"/>
      <c r="U37" s="243"/>
      <c r="W37" s="306"/>
      <c r="X37" s="306"/>
      <c r="Y37" s="312"/>
    </row>
    <row r="38" spans="1:35" ht="14.1" customHeight="1" x14ac:dyDescent="0.2">
      <c r="A38" s="240"/>
      <c r="B38" s="272"/>
      <c r="C38" s="257"/>
      <c r="D38" s="257"/>
      <c r="E38" s="290"/>
      <c r="F38" s="242"/>
      <c r="G38" s="256"/>
      <c r="H38" s="245"/>
      <c r="I38" s="287"/>
      <c r="J38" s="242"/>
      <c r="K38" s="242"/>
      <c r="L38" s="242"/>
      <c r="M38" s="242"/>
      <c r="N38" s="284"/>
      <c r="O38" s="275" t="s">
        <v>125</v>
      </c>
      <c r="P38" s="276"/>
      <c r="Q38" s="325" t="s">
        <v>126</v>
      </c>
      <c r="R38" s="325" t="s">
        <v>127</v>
      </c>
      <c r="S38" s="308"/>
      <c r="T38" s="242"/>
      <c r="U38" s="243"/>
      <c r="W38" s="306"/>
      <c r="X38" s="306"/>
      <c r="Y38" s="312"/>
    </row>
    <row r="39" spans="1:35" ht="14.1" customHeight="1" x14ac:dyDescent="0.2">
      <c r="A39" s="240"/>
      <c r="J39" s="242"/>
      <c r="K39" s="242"/>
      <c r="L39" s="242"/>
      <c r="M39" s="242"/>
      <c r="N39" s="284"/>
      <c r="O39" s="275" t="s">
        <v>128</v>
      </c>
      <c r="P39" s="276"/>
      <c r="Q39" s="325" t="s">
        <v>134</v>
      </c>
      <c r="R39" s="325" t="s">
        <v>129</v>
      </c>
      <c r="S39" s="308"/>
      <c r="T39" s="242"/>
      <c r="U39" s="243"/>
      <c r="W39" s="306"/>
      <c r="X39" s="306"/>
      <c r="Y39" s="312"/>
    </row>
    <row r="40" spans="1:35" ht="14.1" customHeight="1" x14ac:dyDescent="0.2">
      <c r="A40" s="240"/>
      <c r="B40" s="244" t="s">
        <v>111</v>
      </c>
      <c r="C40" s="326" t="s">
        <v>112</v>
      </c>
      <c r="D40" s="242"/>
      <c r="E40" s="242"/>
      <c r="F40" s="242"/>
      <c r="G40" s="242"/>
      <c r="K40" s="242"/>
      <c r="L40" s="242"/>
      <c r="M40" s="284"/>
      <c r="N40" s="244" t="s">
        <v>130</v>
      </c>
      <c r="O40" s="245" t="s">
        <v>131</v>
      </c>
      <c r="P40" s="242"/>
      <c r="Q40" s="242"/>
      <c r="R40" s="242"/>
      <c r="S40" s="327"/>
      <c r="T40" s="242"/>
      <c r="U40" s="243"/>
      <c r="W40" s="306"/>
      <c r="X40" s="306"/>
      <c r="Y40" s="312"/>
    </row>
    <row r="41" spans="1:35" ht="14.1" customHeight="1" x14ac:dyDescent="0.2">
      <c r="A41" s="240"/>
      <c r="K41" s="242"/>
      <c r="L41" s="242"/>
      <c r="M41" s="284"/>
      <c r="N41" s="244"/>
      <c r="O41" s="245"/>
      <c r="P41" s="242"/>
      <c r="Q41" s="242"/>
      <c r="R41" s="242"/>
      <c r="S41" s="242"/>
      <c r="T41" s="242"/>
      <c r="U41" s="243"/>
      <c r="W41" s="306"/>
      <c r="X41" s="306"/>
      <c r="Y41" s="312"/>
    </row>
    <row r="42" spans="1:35" ht="14.1" customHeight="1" x14ac:dyDescent="0.2">
      <c r="A42" s="240"/>
      <c r="B42" s="273" t="s">
        <v>115</v>
      </c>
      <c r="C42" s="328" t="s">
        <v>146</v>
      </c>
      <c r="D42" s="242"/>
      <c r="E42" s="242"/>
      <c r="F42" s="242"/>
      <c r="G42" s="242"/>
      <c r="H42" s="242"/>
      <c r="I42" s="242"/>
      <c r="L42" s="241"/>
      <c r="M42" s="242"/>
      <c r="N42" s="242"/>
      <c r="O42" s="242"/>
      <c r="P42" s="242"/>
      <c r="Q42" s="242"/>
      <c r="R42" s="242"/>
      <c r="S42" s="242"/>
      <c r="T42" s="242"/>
      <c r="U42" s="243"/>
      <c r="W42" s="306"/>
      <c r="X42" s="306"/>
      <c r="Y42" s="329"/>
    </row>
    <row r="43" spans="1:35" ht="14.1" customHeight="1" x14ac:dyDescent="0.2">
      <c r="A43" s="240"/>
      <c r="B43" s="241"/>
      <c r="C43" s="257" t="s">
        <v>96</v>
      </c>
      <c r="D43" s="257"/>
      <c r="E43" s="255" t="s">
        <v>97</v>
      </c>
      <c r="G43" s="256">
        <f>'Resumo dos Cortes'!J36*0.3</f>
        <v>5795.31</v>
      </c>
      <c r="H43" s="245" t="s">
        <v>108</v>
      </c>
      <c r="I43" s="242"/>
      <c r="L43" s="242"/>
      <c r="M43" s="250"/>
      <c r="N43" s="294"/>
      <c r="O43" s="250"/>
      <c r="P43" s="242"/>
      <c r="Q43" s="249"/>
      <c r="R43" s="245"/>
      <c r="S43" s="242"/>
      <c r="T43" s="242"/>
      <c r="U43" s="243"/>
      <c r="W43" s="306"/>
      <c r="X43" s="306"/>
      <c r="Y43" s="312"/>
    </row>
    <row r="44" spans="1:35" ht="14.1" customHeight="1" x14ac:dyDescent="0.2">
      <c r="A44" s="240"/>
      <c r="I44" s="242"/>
      <c r="J44" s="265"/>
      <c r="K44" s="265"/>
      <c r="L44" s="241"/>
      <c r="M44" s="250"/>
      <c r="N44" s="294"/>
      <c r="O44" s="250"/>
      <c r="P44" s="242"/>
      <c r="Q44" s="249"/>
      <c r="R44" s="242"/>
      <c r="S44" s="242"/>
      <c r="T44" s="242"/>
      <c r="U44" s="243"/>
      <c r="W44" s="306"/>
      <c r="X44" s="306"/>
    </row>
    <row r="45" spans="1:35" ht="14.1" customHeight="1" x14ac:dyDescent="0.2">
      <c r="A45" s="240"/>
      <c r="B45" s="273" t="s">
        <v>116</v>
      </c>
      <c r="C45" s="328" t="s">
        <v>117</v>
      </c>
      <c r="D45" s="242"/>
      <c r="E45" s="242"/>
      <c r="G45" s="242"/>
      <c r="H45" s="242"/>
      <c r="I45" s="308"/>
      <c r="J45" s="265"/>
      <c r="K45" s="265"/>
      <c r="L45" s="244"/>
      <c r="M45" s="250"/>
      <c r="N45" s="294"/>
      <c r="O45" s="250"/>
      <c r="P45" s="242"/>
      <c r="Q45" s="249"/>
      <c r="R45" s="245"/>
      <c r="S45" s="242"/>
      <c r="T45" s="242"/>
      <c r="U45" s="243"/>
    </row>
    <row r="46" spans="1:35" ht="14.1" customHeight="1" x14ac:dyDescent="0.2">
      <c r="A46" s="240"/>
      <c r="B46" s="241"/>
      <c r="C46" s="257" t="s">
        <v>96</v>
      </c>
      <c r="D46" s="257"/>
      <c r="E46" s="255" t="s">
        <v>97</v>
      </c>
      <c r="G46" s="256">
        <f>'Resumo dos Cortes'!K36+'Resumo dos Cortes'!J36*0.7</f>
        <v>13522.38</v>
      </c>
      <c r="H46" s="245" t="s">
        <v>108</v>
      </c>
      <c r="I46" s="242"/>
      <c r="J46" s="265"/>
      <c r="K46" s="265"/>
      <c r="L46" s="242"/>
      <c r="M46" s="257"/>
      <c r="N46" s="257"/>
      <c r="O46" s="290"/>
      <c r="P46" s="256"/>
      <c r="Q46" s="256"/>
      <c r="R46" s="245"/>
      <c r="S46" s="242"/>
      <c r="T46" s="242"/>
      <c r="U46" s="330"/>
      <c r="V46" s="284"/>
      <c r="W46" s="331"/>
    </row>
    <row r="47" spans="1:35" ht="14.1" customHeight="1" x14ac:dyDescent="0.2">
      <c r="A47" s="240"/>
      <c r="H47" s="265"/>
      <c r="I47" s="265"/>
      <c r="J47" s="308"/>
      <c r="K47" s="265"/>
      <c r="L47" s="247"/>
      <c r="M47" s="242"/>
      <c r="N47" s="242"/>
      <c r="O47" s="242"/>
      <c r="P47" s="242"/>
      <c r="Q47" s="242"/>
      <c r="R47" s="242"/>
      <c r="S47" s="242"/>
      <c r="T47" s="242"/>
      <c r="U47" s="330"/>
      <c r="V47" s="284"/>
      <c r="W47" s="331"/>
    </row>
    <row r="48" spans="1:35" ht="14.1" customHeight="1" x14ac:dyDescent="0.2">
      <c r="A48" s="240"/>
      <c r="B48" s="244" t="s">
        <v>139</v>
      </c>
      <c r="C48" s="326" t="s">
        <v>140</v>
      </c>
      <c r="D48" s="242"/>
      <c r="E48" s="242"/>
      <c r="F48" s="242"/>
      <c r="L48" s="267"/>
      <c r="M48" s="267"/>
      <c r="N48" s="267"/>
      <c r="O48" s="267"/>
      <c r="P48" s="267"/>
      <c r="Q48" s="267"/>
      <c r="R48" s="267"/>
      <c r="S48" s="267"/>
      <c r="T48" s="267"/>
      <c r="U48" s="330"/>
      <c r="V48" s="284"/>
      <c r="W48" s="331"/>
    </row>
    <row r="49" spans="1:31" ht="15" customHeight="1" x14ac:dyDescent="0.2">
      <c r="A49" s="240"/>
      <c r="C49" s="257" t="s">
        <v>96</v>
      </c>
      <c r="D49" s="257"/>
      <c r="E49" s="255" t="s">
        <v>97</v>
      </c>
      <c r="G49" s="256">
        <f>Distribuição!AR33/1.25</f>
        <v>6003.98</v>
      </c>
      <c r="H49" s="245" t="s">
        <v>108</v>
      </c>
      <c r="L49" s="267"/>
      <c r="M49" s="267"/>
      <c r="N49" s="332"/>
      <c r="O49" s="332"/>
      <c r="P49" s="332"/>
      <c r="Q49" s="332"/>
      <c r="R49" s="332"/>
      <c r="S49" s="332"/>
      <c r="T49" s="332"/>
      <c r="U49" s="333"/>
      <c r="V49" s="334"/>
      <c r="W49" s="331"/>
    </row>
    <row r="50" spans="1:31" x14ac:dyDescent="0.2">
      <c r="A50" s="240"/>
      <c r="L50" s="267"/>
      <c r="M50" s="267"/>
      <c r="N50" s="332"/>
      <c r="O50" s="332"/>
      <c r="P50" s="332"/>
      <c r="Q50" s="332"/>
      <c r="R50" s="332"/>
      <c r="S50" s="332"/>
      <c r="T50" s="332"/>
      <c r="U50" s="333"/>
      <c r="V50" s="334"/>
      <c r="W50" s="331"/>
    </row>
    <row r="51" spans="1:31" x14ac:dyDescent="0.2">
      <c r="A51" s="240"/>
      <c r="J51" s="242"/>
      <c r="K51" s="265"/>
      <c r="L51" s="267"/>
      <c r="M51" s="267"/>
      <c r="N51" s="332"/>
      <c r="O51" s="332"/>
      <c r="P51" s="332"/>
      <c r="Q51" s="332"/>
      <c r="R51" s="332"/>
      <c r="S51" s="332"/>
      <c r="T51" s="332"/>
      <c r="U51" s="333"/>
      <c r="V51" s="334"/>
      <c r="W51" s="331"/>
    </row>
    <row r="52" spans="1:31" ht="15" customHeight="1" x14ac:dyDescent="0.2">
      <c r="A52" s="240"/>
      <c r="B52" s="241"/>
      <c r="C52" s="247"/>
      <c r="D52" s="242"/>
      <c r="E52" s="242"/>
      <c r="F52" s="256"/>
      <c r="G52" s="256"/>
      <c r="H52" s="265"/>
      <c r="I52" s="265"/>
      <c r="J52" s="265"/>
      <c r="K52" s="308"/>
      <c r="L52" s="327"/>
      <c r="M52" s="327"/>
      <c r="N52" s="332"/>
      <c r="O52" s="332"/>
      <c r="P52" s="332"/>
      <c r="Q52" s="332"/>
      <c r="R52" s="332"/>
      <c r="S52" s="332"/>
      <c r="T52" s="332"/>
      <c r="U52" s="333"/>
      <c r="V52" s="334"/>
      <c r="W52" s="263"/>
      <c r="X52" s="335"/>
      <c r="Y52" s="280"/>
      <c r="Z52" s="280"/>
      <c r="AA52" s="336"/>
      <c r="AB52" s="280"/>
      <c r="AC52" s="280"/>
      <c r="AD52" s="335"/>
      <c r="AE52" s="337"/>
    </row>
    <row r="53" spans="1:31" ht="15" customHeight="1" thickBot="1" x14ac:dyDescent="0.25">
      <c r="A53" s="338"/>
      <c r="B53" s="339"/>
      <c r="C53" s="339"/>
      <c r="D53" s="339"/>
      <c r="E53" s="339"/>
      <c r="F53" s="339"/>
      <c r="G53" s="339"/>
      <c r="H53" s="339"/>
      <c r="I53" s="339"/>
      <c r="J53" s="339"/>
      <c r="K53" s="340"/>
      <c r="L53" s="340"/>
      <c r="M53" s="340"/>
      <c r="N53" s="341"/>
      <c r="O53" s="341"/>
      <c r="P53" s="341"/>
      <c r="Q53" s="341"/>
      <c r="R53" s="341"/>
      <c r="S53" s="341"/>
      <c r="T53" s="341"/>
      <c r="U53" s="342"/>
      <c r="V53" s="334"/>
      <c r="W53" s="263"/>
      <c r="X53" s="335"/>
      <c r="Y53" s="280"/>
      <c r="Z53" s="280"/>
      <c r="AA53" s="336"/>
      <c r="AB53" s="280"/>
      <c r="AC53" s="280"/>
      <c r="AD53" s="335"/>
      <c r="AE53" s="337"/>
    </row>
    <row r="54" spans="1:31" ht="12.75" customHeight="1" x14ac:dyDescent="0.2"/>
    <row r="55" spans="1:31" ht="12.75" customHeight="1" x14ac:dyDescent="0.2"/>
    <row r="56" spans="1:31" ht="12.75" customHeight="1" x14ac:dyDescent="0.2"/>
    <row r="57" spans="1:31" ht="12.75" customHeight="1" x14ac:dyDescent="0.2"/>
    <row r="58" spans="1:31" ht="12.75" customHeight="1" x14ac:dyDescent="0.2"/>
    <row r="59" spans="1:31" ht="12.75" customHeight="1" x14ac:dyDescent="0.2"/>
  </sheetData>
  <mergeCells count="15">
    <mergeCell ref="AA24:AB24"/>
    <mergeCell ref="O38:P38"/>
    <mergeCell ref="O39:P39"/>
    <mergeCell ref="Q36:R36"/>
    <mergeCell ref="O36:P37"/>
    <mergeCell ref="C25:D25"/>
    <mergeCell ref="C14:D14"/>
    <mergeCell ref="C16:D16"/>
    <mergeCell ref="C8:D8"/>
    <mergeCell ref="F8:G8"/>
    <mergeCell ref="C13:D13"/>
    <mergeCell ref="C15:D15"/>
    <mergeCell ref="C22:D22"/>
    <mergeCell ref="C24:D24"/>
    <mergeCell ref="C23:D23"/>
  </mergeCells>
  <conditionalFormatting sqref="G34:G36">
    <cfRule type="cellIs" dxfId="110" priority="7" stopIfTrue="1" operator="equal">
      <formula>0</formula>
    </cfRule>
  </conditionalFormatting>
  <conditionalFormatting sqref="Q19">
    <cfRule type="cellIs" dxfId="109" priority="4" stopIfTrue="1" operator="equal">
      <formula>0</formula>
    </cfRule>
  </conditionalFormatting>
  <conditionalFormatting sqref="Q17:Q18">
    <cfRule type="cellIs" dxfId="108" priority="3" stopIfTrue="1" operator="equal">
      <formula>0</formula>
    </cfRule>
  </conditionalFormatting>
  <conditionalFormatting sqref="Q21">
    <cfRule type="cellIs" dxfId="107" priority="2" stopIfTrue="1" operator="equal">
      <formula>0</formula>
    </cfRule>
  </conditionalFormatting>
  <conditionalFormatting sqref="Q16">
    <cfRule type="cellIs" dxfId="106" priority="1" stopIfTrue="1" operator="equal">
      <formula>0</formula>
    </cfRule>
  </conditionalFormatting>
  <pageMargins left="0.78740157480314965" right="0.51181102362204722" top="0.51181102362204722" bottom="0.51181102362204722" header="0" footer="0.39370078740157483"/>
  <pageSetup paperSize="9"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1">
    <pageSetUpPr fitToPage="1"/>
  </sheetPr>
  <dimension ref="A1:AV158"/>
  <sheetViews>
    <sheetView showGridLines="0" zoomScale="85" zoomScaleNormal="85" zoomScaleSheetLayoutView="100" workbookViewId="0">
      <pane xSplit="13" ySplit="9" topLeftCell="N28" activePane="bottomRight" state="frozen"/>
      <selection activeCell="P32" sqref="P32:P33"/>
      <selection pane="topRight" activeCell="P32" sqref="P32:P33"/>
      <selection pane="bottomLeft" activeCell="P32" sqref="P32:P33"/>
      <selection pane="bottomRight" activeCell="N33" sqref="N33"/>
    </sheetView>
  </sheetViews>
  <sheetFormatPr defaultColWidth="11.42578125" defaultRowHeight="12.75" x14ac:dyDescent="0.2"/>
  <cols>
    <col min="1" max="1" width="2.7109375" style="9" customWidth="1"/>
    <col min="2" max="2" width="14.140625" style="10" customWidth="1"/>
    <col min="3" max="3" width="6.5703125" style="8" customWidth="1"/>
    <col min="4" max="4" width="2.140625" style="8" bestFit="1" customWidth="1"/>
    <col min="5" max="5" width="5.5703125" style="8" bestFit="1" customWidth="1"/>
    <col min="6" max="6" width="2" style="8" bestFit="1" customWidth="1"/>
    <col min="7" max="7" width="6" style="8" bestFit="1" customWidth="1"/>
    <col min="8" max="8" width="3" style="8" bestFit="1" customWidth="1"/>
    <col min="9" max="9" width="7.5703125" style="8" bestFit="1" customWidth="1"/>
    <col min="10" max="10" width="2.140625" style="8" customWidth="1"/>
    <col min="11" max="11" width="3.28515625" style="8" bestFit="1" customWidth="1"/>
    <col min="12" max="12" width="2.140625" style="8" customWidth="1"/>
    <col min="13" max="13" width="13.28515625" style="8" bestFit="1" customWidth="1"/>
    <col min="14" max="15" width="12.42578125" style="11" customWidth="1"/>
    <col min="16" max="16" width="9.28515625" style="8" customWidth="1"/>
    <col min="17" max="17" width="6" style="8" customWidth="1"/>
    <col min="18" max="18" width="2.140625" style="8" bestFit="1" customWidth="1"/>
    <col min="19" max="19" width="5.5703125" style="8" bestFit="1" customWidth="1"/>
    <col min="20" max="20" width="2" style="8" bestFit="1" customWidth="1"/>
    <col min="21" max="21" width="6" style="8" bestFit="1" customWidth="1"/>
    <col min="22" max="22" width="2.140625" style="8" bestFit="1" customWidth="1"/>
    <col min="23" max="23" width="5.5703125" style="8" bestFit="1" customWidth="1"/>
    <col min="24" max="24" width="2.140625" style="8" customWidth="1"/>
    <col min="25" max="25" width="3.28515625" style="8" bestFit="1" customWidth="1"/>
    <col min="26" max="26" width="2.140625" style="8" customWidth="1"/>
    <col min="27" max="27" width="9.140625" style="8" bestFit="1" customWidth="1"/>
    <col min="28" max="28" width="13" style="11" customWidth="1"/>
    <col min="29" max="29" width="13.85546875" style="11" bestFit="1" customWidth="1"/>
    <col min="30" max="30" width="14.5703125" style="10" customWidth="1"/>
    <col min="31" max="31" width="8" style="11" bestFit="1" customWidth="1"/>
    <col min="32" max="32" width="12.85546875" style="11" bestFit="1" customWidth="1"/>
    <col min="33" max="33" width="6" style="8" bestFit="1" customWidth="1"/>
    <col min="34" max="34" width="2.140625" style="8" bestFit="1" customWidth="1"/>
    <col min="35" max="35" width="5.5703125" style="8" bestFit="1" customWidth="1"/>
    <col min="36" max="36" width="2" style="8" bestFit="1" customWidth="1"/>
    <col min="37" max="37" width="6" style="8" bestFit="1" customWidth="1"/>
    <col min="38" max="38" width="2.140625" style="8" bestFit="1" customWidth="1"/>
    <col min="39" max="39" width="5.5703125" style="8" bestFit="1" customWidth="1"/>
    <col min="40" max="40" width="2.140625" style="8" customWidth="1"/>
    <col min="41" max="41" width="3.28515625" style="8" bestFit="1" customWidth="1"/>
    <col min="42" max="42" width="4.5703125" style="8" bestFit="1" customWidth="1"/>
    <col min="43" max="43" width="9.140625" style="8" bestFit="1" customWidth="1"/>
    <col min="44" max="44" width="11.28515625" style="11" customWidth="1"/>
    <col min="45" max="45" width="12.7109375" style="11" customWidth="1"/>
    <col min="46" max="46" width="14.85546875" style="10" customWidth="1"/>
    <col min="47" max="47" width="22.7109375" style="10" bestFit="1" customWidth="1"/>
    <col min="48" max="48" width="2.7109375" style="10" customWidth="1"/>
    <col min="49" max="16384" width="11.42578125" style="31"/>
  </cols>
  <sheetData>
    <row r="1" spans="1:48" ht="9.9499999999999993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3"/>
      <c r="AC1" s="3"/>
      <c r="AD1" s="2"/>
      <c r="AE1" s="3"/>
      <c r="AF1" s="3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3"/>
      <c r="AS1" s="3"/>
      <c r="AT1" s="2"/>
      <c r="AU1" s="2"/>
      <c r="AV1" s="12"/>
    </row>
    <row r="2" spans="1:48" ht="15" customHeight="1" x14ac:dyDescent="0.2">
      <c r="A2" s="4"/>
      <c r="B2" s="189" t="s">
        <v>0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1"/>
      <c r="P2" s="189" t="s">
        <v>3</v>
      </c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1"/>
      <c r="AV2" s="13"/>
    </row>
    <row r="3" spans="1:48" ht="15" customHeight="1" x14ac:dyDescent="0.2">
      <c r="A3" s="4"/>
      <c r="B3" s="192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4"/>
      <c r="P3" s="192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  <c r="AM3" s="193"/>
      <c r="AN3" s="193"/>
      <c r="AO3" s="193"/>
      <c r="AP3" s="193"/>
      <c r="AQ3" s="193"/>
      <c r="AR3" s="193"/>
      <c r="AS3" s="193"/>
      <c r="AT3" s="193"/>
      <c r="AU3" s="194"/>
      <c r="AV3" s="13"/>
    </row>
    <row r="4" spans="1:48" ht="15" customHeight="1" x14ac:dyDescent="0.2">
      <c r="A4" s="4"/>
      <c r="B4" s="198" t="s">
        <v>5</v>
      </c>
      <c r="C4" s="189" t="s">
        <v>1</v>
      </c>
      <c r="D4" s="190"/>
      <c r="E4" s="190"/>
      <c r="F4" s="190"/>
      <c r="G4" s="190"/>
      <c r="H4" s="190"/>
      <c r="I4" s="190"/>
      <c r="J4" s="190"/>
      <c r="K4" s="190"/>
      <c r="L4" s="190"/>
      <c r="M4" s="191"/>
      <c r="N4" s="189" t="s">
        <v>2</v>
      </c>
      <c r="O4" s="191"/>
      <c r="P4" s="195" t="s">
        <v>4</v>
      </c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7"/>
      <c r="AG4" s="195" t="s">
        <v>9</v>
      </c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7"/>
      <c r="AU4" s="172" t="s">
        <v>12</v>
      </c>
      <c r="AV4" s="13"/>
    </row>
    <row r="5" spans="1:48" ht="15" customHeight="1" x14ac:dyDescent="0.2">
      <c r="A5" s="4"/>
      <c r="B5" s="199"/>
      <c r="C5" s="195"/>
      <c r="D5" s="196"/>
      <c r="E5" s="196"/>
      <c r="F5" s="196"/>
      <c r="G5" s="196"/>
      <c r="H5" s="196"/>
      <c r="I5" s="196"/>
      <c r="J5" s="196"/>
      <c r="K5" s="196"/>
      <c r="L5" s="196"/>
      <c r="M5" s="197"/>
      <c r="N5" s="195"/>
      <c r="O5" s="197"/>
      <c r="P5" s="192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4"/>
      <c r="AG5" s="192"/>
      <c r="AH5" s="193"/>
      <c r="AI5" s="193"/>
      <c r="AJ5" s="193"/>
      <c r="AK5" s="193"/>
      <c r="AL5" s="193"/>
      <c r="AM5" s="193"/>
      <c r="AN5" s="193"/>
      <c r="AO5" s="193"/>
      <c r="AP5" s="193"/>
      <c r="AQ5" s="193"/>
      <c r="AR5" s="193"/>
      <c r="AS5" s="193"/>
      <c r="AT5" s="194"/>
      <c r="AU5" s="173"/>
      <c r="AV5" s="13"/>
    </row>
    <row r="6" spans="1:48" ht="25.5" customHeight="1" x14ac:dyDescent="0.2">
      <c r="A6" s="4"/>
      <c r="B6" s="199"/>
      <c r="C6" s="192"/>
      <c r="D6" s="193"/>
      <c r="E6" s="193"/>
      <c r="F6" s="193"/>
      <c r="G6" s="193"/>
      <c r="H6" s="193"/>
      <c r="I6" s="193"/>
      <c r="J6" s="193"/>
      <c r="K6" s="193"/>
      <c r="L6" s="193"/>
      <c r="M6" s="194"/>
      <c r="N6" s="192"/>
      <c r="O6" s="194"/>
      <c r="P6" s="172" t="s">
        <v>50</v>
      </c>
      <c r="Q6" s="175" t="s">
        <v>1</v>
      </c>
      <c r="R6" s="176"/>
      <c r="S6" s="176"/>
      <c r="T6" s="176"/>
      <c r="U6" s="176"/>
      <c r="V6" s="176"/>
      <c r="W6" s="176"/>
      <c r="X6" s="176"/>
      <c r="Y6" s="176"/>
      <c r="Z6" s="176"/>
      <c r="AA6" s="177"/>
      <c r="AB6" s="206" t="s">
        <v>2</v>
      </c>
      <c r="AC6" s="207"/>
      <c r="AD6" s="172" t="s">
        <v>47</v>
      </c>
      <c r="AE6" s="210" t="s">
        <v>49</v>
      </c>
      <c r="AF6" s="211"/>
      <c r="AG6" s="189" t="s">
        <v>1</v>
      </c>
      <c r="AH6" s="190"/>
      <c r="AI6" s="190"/>
      <c r="AJ6" s="190"/>
      <c r="AK6" s="190"/>
      <c r="AL6" s="190"/>
      <c r="AM6" s="190"/>
      <c r="AN6" s="190"/>
      <c r="AO6" s="190"/>
      <c r="AP6" s="190"/>
      <c r="AQ6" s="191"/>
      <c r="AR6" s="201" t="s">
        <v>2</v>
      </c>
      <c r="AS6" s="201" t="s">
        <v>48</v>
      </c>
      <c r="AT6" s="172" t="s">
        <v>6</v>
      </c>
      <c r="AU6" s="173"/>
      <c r="AV6" s="13"/>
    </row>
    <row r="7" spans="1:48" ht="15" customHeight="1" x14ac:dyDescent="0.2">
      <c r="A7" s="4"/>
      <c r="B7" s="199"/>
      <c r="C7" s="178" t="s">
        <v>10</v>
      </c>
      <c r="D7" s="179"/>
      <c r="E7" s="179"/>
      <c r="F7" s="179"/>
      <c r="G7" s="179"/>
      <c r="H7" s="179"/>
      <c r="I7" s="179"/>
      <c r="J7" s="179"/>
      <c r="K7" s="179"/>
      <c r="L7" s="179"/>
      <c r="M7" s="180"/>
      <c r="N7" s="201" t="s">
        <v>7</v>
      </c>
      <c r="O7" s="201" t="s">
        <v>8</v>
      </c>
      <c r="P7" s="173"/>
      <c r="Q7" s="178" t="s">
        <v>51</v>
      </c>
      <c r="R7" s="179"/>
      <c r="S7" s="179"/>
      <c r="T7" s="179"/>
      <c r="U7" s="179"/>
      <c r="V7" s="179"/>
      <c r="W7" s="179"/>
      <c r="X7" s="179"/>
      <c r="Y7" s="179"/>
      <c r="Z7" s="179"/>
      <c r="AA7" s="180"/>
      <c r="AB7" s="208"/>
      <c r="AC7" s="209"/>
      <c r="AD7" s="173"/>
      <c r="AE7" s="212"/>
      <c r="AF7" s="213"/>
      <c r="AG7" s="181" t="s">
        <v>10</v>
      </c>
      <c r="AH7" s="182"/>
      <c r="AI7" s="182"/>
      <c r="AJ7" s="182"/>
      <c r="AK7" s="182"/>
      <c r="AL7" s="182"/>
      <c r="AM7" s="182"/>
      <c r="AN7" s="182"/>
      <c r="AO7" s="182"/>
      <c r="AP7" s="182"/>
      <c r="AQ7" s="183"/>
      <c r="AR7" s="202"/>
      <c r="AS7" s="202"/>
      <c r="AT7" s="173"/>
      <c r="AU7" s="173"/>
      <c r="AV7" s="13"/>
    </row>
    <row r="8" spans="1:48" ht="10.5" customHeight="1" x14ac:dyDescent="0.2">
      <c r="A8" s="4"/>
      <c r="B8" s="199"/>
      <c r="C8" s="181"/>
      <c r="D8" s="182"/>
      <c r="E8" s="182"/>
      <c r="F8" s="182"/>
      <c r="G8" s="182"/>
      <c r="H8" s="182"/>
      <c r="I8" s="182"/>
      <c r="J8" s="182"/>
      <c r="K8" s="182"/>
      <c r="L8" s="182"/>
      <c r="M8" s="183"/>
      <c r="N8" s="202"/>
      <c r="O8" s="202"/>
      <c r="P8" s="173"/>
      <c r="Q8" s="181"/>
      <c r="R8" s="182"/>
      <c r="S8" s="182"/>
      <c r="T8" s="182"/>
      <c r="U8" s="182"/>
      <c r="V8" s="182"/>
      <c r="W8" s="182"/>
      <c r="X8" s="182"/>
      <c r="Y8" s="182"/>
      <c r="Z8" s="182"/>
      <c r="AA8" s="183"/>
      <c r="AB8" s="187" t="s">
        <v>84</v>
      </c>
      <c r="AC8" s="187" t="s">
        <v>85</v>
      </c>
      <c r="AD8" s="173"/>
      <c r="AE8" s="212"/>
      <c r="AF8" s="213"/>
      <c r="AG8" s="181"/>
      <c r="AH8" s="182"/>
      <c r="AI8" s="182"/>
      <c r="AJ8" s="182"/>
      <c r="AK8" s="182"/>
      <c r="AL8" s="182"/>
      <c r="AM8" s="182"/>
      <c r="AN8" s="182"/>
      <c r="AO8" s="182"/>
      <c r="AP8" s="182"/>
      <c r="AQ8" s="183"/>
      <c r="AR8" s="202"/>
      <c r="AS8" s="202"/>
      <c r="AT8" s="173"/>
      <c r="AU8" s="173"/>
      <c r="AV8" s="13"/>
    </row>
    <row r="9" spans="1:48" s="5" customFormat="1" ht="15" customHeight="1" x14ac:dyDescent="0.2">
      <c r="A9" s="4"/>
      <c r="B9" s="200"/>
      <c r="C9" s="184"/>
      <c r="D9" s="185"/>
      <c r="E9" s="185"/>
      <c r="F9" s="185"/>
      <c r="G9" s="185"/>
      <c r="H9" s="185"/>
      <c r="I9" s="185"/>
      <c r="J9" s="185"/>
      <c r="K9" s="185"/>
      <c r="L9" s="185"/>
      <c r="M9" s="186"/>
      <c r="N9" s="203"/>
      <c r="O9" s="203"/>
      <c r="P9" s="174"/>
      <c r="Q9" s="184"/>
      <c r="R9" s="185"/>
      <c r="S9" s="185"/>
      <c r="T9" s="185"/>
      <c r="U9" s="185"/>
      <c r="V9" s="185"/>
      <c r="W9" s="185"/>
      <c r="X9" s="185"/>
      <c r="Y9" s="185"/>
      <c r="Z9" s="185"/>
      <c r="AA9" s="186"/>
      <c r="AB9" s="188"/>
      <c r="AC9" s="188"/>
      <c r="AD9" s="174"/>
      <c r="AE9" s="214"/>
      <c r="AF9" s="215"/>
      <c r="AG9" s="184"/>
      <c r="AH9" s="185"/>
      <c r="AI9" s="185"/>
      <c r="AJ9" s="185"/>
      <c r="AK9" s="185"/>
      <c r="AL9" s="185"/>
      <c r="AM9" s="185"/>
      <c r="AN9" s="185"/>
      <c r="AO9" s="185"/>
      <c r="AP9" s="185"/>
      <c r="AQ9" s="186"/>
      <c r="AR9" s="203"/>
      <c r="AS9" s="203"/>
      <c r="AT9" s="174"/>
      <c r="AU9" s="174"/>
      <c r="AV9" s="13"/>
    </row>
    <row r="10" spans="1:48" s="5" customFormat="1" ht="7.5" customHeight="1" x14ac:dyDescent="0.2">
      <c r="A10" s="4"/>
      <c r="B10" s="23"/>
      <c r="C10" s="32"/>
      <c r="D10" s="33"/>
      <c r="E10" s="33"/>
      <c r="F10" s="33"/>
      <c r="G10" s="33"/>
      <c r="H10" s="33"/>
      <c r="I10" s="33"/>
      <c r="J10" s="33"/>
      <c r="K10" s="33"/>
      <c r="L10" s="33"/>
      <c r="M10" s="34"/>
      <c r="N10" s="24"/>
      <c r="O10" s="24"/>
      <c r="P10" s="32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4"/>
      <c r="AB10" s="24"/>
      <c r="AC10" s="26"/>
      <c r="AD10" s="27"/>
      <c r="AE10" s="60"/>
      <c r="AF10" s="61"/>
      <c r="AG10" s="32"/>
      <c r="AH10" s="33"/>
      <c r="AI10" s="33"/>
      <c r="AJ10" s="33"/>
      <c r="AK10" s="33"/>
      <c r="AL10" s="33"/>
      <c r="AM10" s="33"/>
      <c r="AN10" s="33"/>
      <c r="AO10" s="33"/>
      <c r="AP10" s="33"/>
      <c r="AQ10" s="34"/>
      <c r="AR10" s="24"/>
      <c r="AS10" s="25"/>
      <c r="AT10" s="27"/>
      <c r="AU10" s="27"/>
      <c r="AV10" s="13"/>
    </row>
    <row r="11" spans="1:48" s="5" customFormat="1" ht="21.95" customHeight="1" x14ac:dyDescent="0.2">
      <c r="A11" s="4"/>
      <c r="B11" s="130" t="str">
        <f>'Resumo dos Cortes'!A14</f>
        <v>C.1</v>
      </c>
      <c r="C11" s="35">
        <f>IFERROR(VLOOKUP(B11,'Resumo dos Cortes'!$A$13:$L$35,2,0),"")</f>
        <v>0</v>
      </c>
      <c r="D11" s="36" t="str">
        <f>IFERROR(VLOOKUP(B11,'Resumo dos Cortes'!$A$13:$L$35,3,0),"")</f>
        <v>+</v>
      </c>
      <c r="E11" s="37">
        <f>IFERROR(VLOOKUP(B11,'Resumo dos Cortes'!$A$13:$L$35,4,0),"")</f>
        <v>0</v>
      </c>
      <c r="F11" s="38" t="s">
        <v>34</v>
      </c>
      <c r="G11" s="38">
        <f>IFERROR(VLOOKUP(B11,'Resumo dos Cortes'!$A$13:$L$35,5,0),"")</f>
        <v>16</v>
      </c>
      <c r="H11" s="38" t="str">
        <f>IFERROR(VLOOKUP(B11,'Resumo dos Cortes'!$A$13:$L$35,6,0),"")</f>
        <v>+</v>
      </c>
      <c r="I11" s="37">
        <f>IFERROR(VLOOKUP(B11,'Resumo dos Cortes'!$A$13:$L$35,7,0),"")</f>
        <v>18.86</v>
      </c>
      <c r="J11" s="38"/>
      <c r="K11" s="38"/>
      <c r="L11" s="38"/>
      <c r="M11" s="39"/>
      <c r="N11" s="132">
        <f>'Resumo dos Cortes'!H14</f>
        <v>3609.93</v>
      </c>
      <c r="O11" s="132"/>
      <c r="P11" s="129"/>
      <c r="Q11" s="38"/>
      <c r="R11" s="38"/>
      <c r="S11" s="37"/>
      <c r="T11" s="38"/>
      <c r="U11" s="38"/>
      <c r="V11" s="38"/>
      <c r="W11" s="37"/>
      <c r="X11" s="38"/>
      <c r="Y11" s="38"/>
      <c r="Z11" s="38"/>
      <c r="AA11" s="39"/>
      <c r="AB11" s="132"/>
      <c r="AC11" s="132"/>
      <c r="AD11" s="132"/>
      <c r="AE11" s="134"/>
      <c r="AF11" s="135"/>
      <c r="AG11" s="35" t="s">
        <v>86</v>
      </c>
      <c r="AH11" s="161" t="s">
        <v>136</v>
      </c>
      <c r="AI11" s="37"/>
      <c r="AJ11" s="38"/>
      <c r="AK11" s="38"/>
      <c r="AL11" s="38" t="s">
        <v>46</v>
      </c>
      <c r="AM11" s="37">
        <f>0.58+16+0.5</f>
        <v>17.079999999999998</v>
      </c>
      <c r="AN11" s="38" t="s">
        <v>87</v>
      </c>
      <c r="AO11" s="38"/>
      <c r="AP11" s="38"/>
      <c r="AQ11" s="39"/>
      <c r="AR11" s="28">
        <f>N11</f>
        <v>3609.93</v>
      </c>
      <c r="AS11" s="29">
        <f>((G11+I11/20+C11+E11/20)/2)*20/1000+AM11</f>
        <v>17.25</v>
      </c>
      <c r="AT11" s="30">
        <f>AR11*AS11</f>
        <v>62271.29</v>
      </c>
      <c r="AU11" s="155" t="str">
        <f>'Resumo dos Cortes'!L14</f>
        <v>Rua 01 e 03</v>
      </c>
      <c r="AV11" s="13"/>
    </row>
    <row r="12" spans="1:48" s="5" customFormat="1" ht="21.95" customHeight="1" x14ac:dyDescent="0.2">
      <c r="A12" s="4"/>
      <c r="B12" s="130" t="s">
        <v>135</v>
      </c>
      <c r="C12" s="35">
        <v>0</v>
      </c>
      <c r="D12" s="36" t="s">
        <v>35</v>
      </c>
      <c r="E12" s="37">
        <v>0</v>
      </c>
      <c r="F12" s="38" t="s">
        <v>46</v>
      </c>
      <c r="G12" s="37">
        <f>0.25+9.24+0.58</f>
        <v>10.07</v>
      </c>
      <c r="H12" s="38" t="s">
        <v>87</v>
      </c>
      <c r="I12" s="37"/>
      <c r="J12" s="38"/>
      <c r="K12" s="38"/>
      <c r="L12" s="38"/>
      <c r="M12" s="39"/>
      <c r="N12" s="132">
        <f>'Resumo dos Cortes'!J15*1.25</f>
        <v>2776.8</v>
      </c>
      <c r="O12" s="132"/>
      <c r="P12" s="129" t="str">
        <f>'Resumo dos Cortes'!A15</f>
        <v>A.1</v>
      </c>
      <c r="Q12" s="156">
        <f>'Resumo dos Cortes'!B15</f>
        <v>0</v>
      </c>
      <c r="R12" s="38" t="str">
        <f>'Resumo dos Cortes'!C15</f>
        <v>+</v>
      </c>
      <c r="S12" s="37">
        <f>'Resumo dos Cortes'!D15</f>
        <v>0</v>
      </c>
      <c r="T12" s="38" t="s">
        <v>34</v>
      </c>
      <c r="U12" s="156">
        <f>'Resumo dos Cortes'!E15</f>
        <v>16</v>
      </c>
      <c r="V12" s="156" t="str">
        <f>'Resumo dos Cortes'!F15</f>
        <v>+</v>
      </c>
      <c r="W12" s="37">
        <f>'Resumo dos Cortes'!G15</f>
        <v>18.86</v>
      </c>
      <c r="X12" s="38"/>
      <c r="Y12" s="38"/>
      <c r="Z12" s="38"/>
      <c r="AA12" s="39"/>
      <c r="AB12" s="132">
        <f>N12</f>
        <v>2776.8</v>
      </c>
      <c r="AC12" s="132"/>
      <c r="AD12" s="162">
        <f>((U12+W12/20+Q12+S12/20)/2)*20/1000+G12</f>
        <v>10.24</v>
      </c>
      <c r="AE12" s="134"/>
      <c r="AF12" s="135">
        <f t="shared" ref="AF12" si="0">IFERROR(IF(AD12&gt;0,AD12*N12),"")</f>
        <v>28434.43</v>
      </c>
      <c r="AG12" s="35"/>
      <c r="AH12" s="38"/>
      <c r="AI12" s="37"/>
      <c r="AJ12" s="38"/>
      <c r="AK12" s="38"/>
      <c r="AL12" s="38"/>
      <c r="AM12" s="37"/>
      <c r="AN12" s="38"/>
      <c r="AO12" s="38"/>
      <c r="AP12" s="38"/>
      <c r="AQ12" s="39"/>
      <c r="AR12" s="28"/>
      <c r="AS12" s="29"/>
      <c r="AT12" s="30"/>
      <c r="AU12" s="155" t="str">
        <f>'Resumo dos Cortes'!L15</f>
        <v>Rua 01 e 03</v>
      </c>
      <c r="AV12" s="13"/>
    </row>
    <row r="13" spans="1:48" s="5" customFormat="1" ht="21.95" customHeight="1" x14ac:dyDescent="0.2">
      <c r="A13" s="4"/>
      <c r="B13" s="130" t="str">
        <f>'Resumo dos Cortes'!A16</f>
        <v>C.2</v>
      </c>
      <c r="C13" s="35">
        <f>IFERROR(VLOOKUP(B13,'Resumo dos Cortes'!$A$13:$L$35,2,0),"")</f>
        <v>0</v>
      </c>
      <c r="D13" s="36" t="str">
        <f>IFERROR(VLOOKUP(B13,'Resumo dos Cortes'!$A$13:$L$35,3,0),"")</f>
        <v>+</v>
      </c>
      <c r="E13" s="37">
        <f>IFERROR(VLOOKUP(B13,'Resumo dos Cortes'!$A$13:$L$35,4,0),"")</f>
        <v>0</v>
      </c>
      <c r="F13" s="38" t="s">
        <v>34</v>
      </c>
      <c r="G13" s="38">
        <f>IFERROR(VLOOKUP(B13,'Resumo dos Cortes'!$A$13:$L$35,5,0),"")</f>
        <v>11</v>
      </c>
      <c r="H13" s="38" t="str">
        <f>IFERROR(VLOOKUP(B13,'Resumo dos Cortes'!$A$13:$L$35,6,0),"")</f>
        <v>+</v>
      </c>
      <c r="I13" s="37">
        <f>IFERROR(VLOOKUP(B13,'Resumo dos Cortes'!$A$13:$L$35,7,0),"")</f>
        <v>11.65</v>
      </c>
      <c r="J13" s="38"/>
      <c r="K13" s="38"/>
      <c r="L13" s="38"/>
      <c r="M13" s="39"/>
      <c r="N13" s="132">
        <f>'Resumo dos Cortes'!H16</f>
        <v>324.61</v>
      </c>
      <c r="O13" s="132"/>
      <c r="P13" s="129"/>
      <c r="Q13" s="38"/>
      <c r="R13" s="38"/>
      <c r="S13" s="37"/>
      <c r="T13" s="38"/>
      <c r="U13" s="38"/>
      <c r="V13" s="38"/>
      <c r="W13" s="37"/>
      <c r="X13" s="38"/>
      <c r="Y13" s="38"/>
      <c r="Z13" s="38"/>
      <c r="AA13" s="39"/>
      <c r="AB13" s="132"/>
      <c r="AC13" s="132"/>
      <c r="AD13" s="132"/>
      <c r="AE13" s="134"/>
      <c r="AF13" s="135"/>
      <c r="AG13" s="35" t="s">
        <v>86</v>
      </c>
      <c r="AH13" s="161" t="s">
        <v>136</v>
      </c>
      <c r="AI13" s="37"/>
      <c r="AJ13" s="38"/>
      <c r="AK13" s="38"/>
      <c r="AL13" s="38" t="s">
        <v>46</v>
      </c>
      <c r="AM13" s="37">
        <f>0.58+16+0.5</f>
        <v>17.079999999999998</v>
      </c>
      <c r="AN13" s="38" t="s">
        <v>87</v>
      </c>
      <c r="AO13" s="38"/>
      <c r="AP13" s="38"/>
      <c r="AQ13" s="39"/>
      <c r="AR13" s="28">
        <f>N13</f>
        <v>324.61</v>
      </c>
      <c r="AS13" s="29">
        <f>((G13+I13/20+C13+E13/20)/2)*20/1000+AM13</f>
        <v>17.2</v>
      </c>
      <c r="AT13" s="30">
        <f>AR13*AS13</f>
        <v>5583.29</v>
      </c>
      <c r="AU13" s="155" t="str">
        <f>'Resumo dos Cortes'!L16</f>
        <v>Rua 02 e 09</v>
      </c>
      <c r="AV13" s="13"/>
    </row>
    <row r="14" spans="1:48" s="5" customFormat="1" ht="21.95" customHeight="1" x14ac:dyDescent="0.2">
      <c r="A14" s="4"/>
      <c r="B14" s="130" t="s">
        <v>135</v>
      </c>
      <c r="C14" s="35">
        <v>0</v>
      </c>
      <c r="D14" s="36" t="s">
        <v>35</v>
      </c>
      <c r="E14" s="37">
        <v>0</v>
      </c>
      <c r="F14" s="38" t="s">
        <v>46</v>
      </c>
      <c r="G14" s="37">
        <f>0.25+9.24+0.58</f>
        <v>10.07</v>
      </c>
      <c r="H14" s="38" t="s">
        <v>87</v>
      </c>
      <c r="I14" s="37"/>
      <c r="J14" s="38"/>
      <c r="K14" s="38"/>
      <c r="L14" s="38"/>
      <c r="M14" s="39"/>
      <c r="N14" s="132">
        <f>'Resumo dos Cortes'!J17*1.25</f>
        <v>1108.0999999999999</v>
      </c>
      <c r="O14" s="132"/>
      <c r="P14" s="129" t="str">
        <f>'Resumo dos Cortes'!A17</f>
        <v>A.2</v>
      </c>
      <c r="Q14" s="156">
        <f>'Resumo dos Cortes'!B17</f>
        <v>0</v>
      </c>
      <c r="R14" s="38" t="str">
        <f>'Resumo dos Cortes'!C17</f>
        <v>+</v>
      </c>
      <c r="S14" s="37">
        <f>'Resumo dos Cortes'!D17</f>
        <v>0</v>
      </c>
      <c r="T14" s="38" t="s">
        <v>34</v>
      </c>
      <c r="U14" s="156">
        <f>'Resumo dos Cortes'!E17</f>
        <v>11</v>
      </c>
      <c r="V14" s="156" t="str">
        <f>'Resumo dos Cortes'!F17</f>
        <v>+</v>
      </c>
      <c r="W14" s="37">
        <f>'Resumo dos Cortes'!G17</f>
        <v>11.65</v>
      </c>
      <c r="X14" s="38"/>
      <c r="Y14" s="38"/>
      <c r="Z14" s="38"/>
      <c r="AA14" s="39"/>
      <c r="AB14" s="132">
        <f>N14</f>
        <v>1108.0999999999999</v>
      </c>
      <c r="AC14" s="132"/>
      <c r="AD14" s="162">
        <f>((U14+W14/20+Q14+S14/20)/2)*20/1000+G14</f>
        <v>10.19</v>
      </c>
      <c r="AE14" s="134"/>
      <c r="AF14" s="135">
        <f t="shared" ref="AF14" si="1">IFERROR(IF(AD14&gt;0,AD14*N14),"")</f>
        <v>11291.54</v>
      </c>
      <c r="AG14" s="35"/>
      <c r="AH14" s="38"/>
      <c r="AI14" s="37"/>
      <c r="AJ14" s="38"/>
      <c r="AK14" s="38"/>
      <c r="AL14" s="38"/>
      <c r="AM14" s="37"/>
      <c r="AN14" s="38"/>
      <c r="AO14" s="38"/>
      <c r="AP14" s="38"/>
      <c r="AQ14" s="39"/>
      <c r="AR14" s="28"/>
      <c r="AS14" s="29"/>
      <c r="AT14" s="30"/>
      <c r="AU14" s="155" t="str">
        <f>'Resumo dos Cortes'!L17</f>
        <v>Rua 02 e 09</v>
      </c>
      <c r="AV14" s="13"/>
    </row>
    <row r="15" spans="1:48" s="5" customFormat="1" ht="21.95" customHeight="1" x14ac:dyDescent="0.2">
      <c r="A15" s="4"/>
      <c r="B15" s="130" t="str">
        <f>'Resumo dos Cortes'!A18</f>
        <v>C.3</v>
      </c>
      <c r="C15" s="35">
        <f>IFERROR(VLOOKUP(B15,'Resumo dos Cortes'!$A$13:$L$35,2,0),"")</f>
        <v>0</v>
      </c>
      <c r="D15" s="36" t="str">
        <f>IFERROR(VLOOKUP(B15,'Resumo dos Cortes'!$A$13:$L$35,3,0),"")</f>
        <v>+</v>
      </c>
      <c r="E15" s="37">
        <f>IFERROR(VLOOKUP(B15,'Resumo dos Cortes'!$A$13:$L$35,4,0),"")</f>
        <v>0</v>
      </c>
      <c r="F15" s="38" t="s">
        <v>34</v>
      </c>
      <c r="G15" s="38">
        <f>IFERROR(VLOOKUP(B15,'Resumo dos Cortes'!$A$13:$L$35,5,0),"")</f>
        <v>5</v>
      </c>
      <c r="H15" s="38" t="str">
        <f>IFERROR(VLOOKUP(B15,'Resumo dos Cortes'!$A$13:$L$35,6,0),"")</f>
        <v>+</v>
      </c>
      <c r="I15" s="37">
        <f>IFERROR(VLOOKUP(B15,'Resumo dos Cortes'!$A$13:$L$35,7,0),"")</f>
        <v>7.2</v>
      </c>
      <c r="J15" s="38"/>
      <c r="K15" s="38"/>
      <c r="L15" s="38"/>
      <c r="M15" s="39"/>
      <c r="N15" s="132">
        <f>'Resumo dos Cortes'!H18</f>
        <v>170</v>
      </c>
      <c r="O15" s="132"/>
      <c r="P15" s="129"/>
      <c r="Q15" s="38"/>
      <c r="R15" s="38"/>
      <c r="S15" s="37"/>
      <c r="T15" s="38"/>
      <c r="U15" s="38"/>
      <c r="V15" s="38"/>
      <c r="W15" s="37"/>
      <c r="X15" s="38"/>
      <c r="Y15" s="38"/>
      <c r="Z15" s="38"/>
      <c r="AA15" s="39"/>
      <c r="AB15" s="132"/>
      <c r="AC15" s="132"/>
      <c r="AD15" s="132"/>
      <c r="AE15" s="134"/>
      <c r="AF15" s="135"/>
      <c r="AG15" s="35" t="s">
        <v>86</v>
      </c>
      <c r="AH15" s="161" t="s">
        <v>136</v>
      </c>
      <c r="AI15" s="37"/>
      <c r="AJ15" s="38"/>
      <c r="AK15" s="38"/>
      <c r="AL15" s="38" t="s">
        <v>46</v>
      </c>
      <c r="AM15" s="37">
        <f>0.58+16+0.5</f>
        <v>17.079999999999998</v>
      </c>
      <c r="AN15" s="38" t="s">
        <v>87</v>
      </c>
      <c r="AO15" s="38"/>
      <c r="AP15" s="38"/>
      <c r="AQ15" s="39"/>
      <c r="AR15" s="28">
        <f>N15</f>
        <v>170</v>
      </c>
      <c r="AS15" s="29">
        <f>((G15+I15/20+C15+E15/20)/2)*20/1000+AM15</f>
        <v>17.13</v>
      </c>
      <c r="AT15" s="30">
        <f>AR15*AS15</f>
        <v>2912.1</v>
      </c>
      <c r="AU15" s="155" t="str">
        <f>'Resumo dos Cortes'!L18</f>
        <v>Rua 04</v>
      </c>
      <c r="AV15" s="13"/>
    </row>
    <row r="16" spans="1:48" s="5" customFormat="1" ht="21.95" customHeight="1" x14ac:dyDescent="0.2">
      <c r="A16" s="4"/>
      <c r="B16" s="130" t="s">
        <v>135</v>
      </c>
      <c r="C16" s="35">
        <v>0</v>
      </c>
      <c r="D16" s="36" t="s">
        <v>35</v>
      </c>
      <c r="E16" s="37">
        <v>0</v>
      </c>
      <c r="F16" s="38" t="s">
        <v>46</v>
      </c>
      <c r="G16" s="37">
        <f>0.25+9.24+0.58</f>
        <v>10.07</v>
      </c>
      <c r="H16" s="38" t="s">
        <v>87</v>
      </c>
      <c r="I16" s="37"/>
      <c r="J16" s="38"/>
      <c r="K16" s="38"/>
      <c r="L16" s="38"/>
      <c r="M16" s="39"/>
      <c r="N16" s="132">
        <f>'Resumo dos Cortes'!J19*1.25</f>
        <v>124.75</v>
      </c>
      <c r="O16" s="132"/>
      <c r="P16" s="129" t="str">
        <f>'Resumo dos Cortes'!A19</f>
        <v>A.3</v>
      </c>
      <c r="Q16" s="156">
        <f>'Resumo dos Cortes'!B19</f>
        <v>0</v>
      </c>
      <c r="R16" s="38" t="str">
        <f>'Resumo dos Cortes'!C19</f>
        <v>+</v>
      </c>
      <c r="S16" s="37">
        <f>'Resumo dos Cortes'!D19</f>
        <v>0</v>
      </c>
      <c r="T16" s="38" t="s">
        <v>34</v>
      </c>
      <c r="U16" s="156">
        <f>'Resumo dos Cortes'!E19</f>
        <v>5</v>
      </c>
      <c r="V16" s="156" t="str">
        <f>'Resumo dos Cortes'!F19</f>
        <v>+</v>
      </c>
      <c r="W16" s="37">
        <f>'Resumo dos Cortes'!G19</f>
        <v>7.2</v>
      </c>
      <c r="X16" s="38"/>
      <c r="Y16" s="38"/>
      <c r="Z16" s="38"/>
      <c r="AA16" s="39"/>
      <c r="AB16" s="132">
        <f>N16</f>
        <v>124.75</v>
      </c>
      <c r="AC16" s="132"/>
      <c r="AD16" s="162">
        <f>((U16+W16/20+Q16+S16/20)/2)*20/1000+G16</f>
        <v>10.119999999999999</v>
      </c>
      <c r="AE16" s="134"/>
      <c r="AF16" s="135">
        <f t="shared" ref="AF16" si="2">IFERROR(IF(AD16&gt;0,AD16*N16),"")</f>
        <v>1262.47</v>
      </c>
      <c r="AG16" s="35"/>
      <c r="AH16" s="38"/>
      <c r="AI16" s="37"/>
      <c r="AJ16" s="38"/>
      <c r="AK16" s="38"/>
      <c r="AL16" s="38"/>
      <c r="AM16" s="37"/>
      <c r="AN16" s="38"/>
      <c r="AO16" s="38"/>
      <c r="AP16" s="38"/>
      <c r="AQ16" s="39"/>
      <c r="AR16" s="28"/>
      <c r="AS16" s="29"/>
      <c r="AT16" s="30"/>
      <c r="AU16" s="155" t="str">
        <f>'Resumo dos Cortes'!L19</f>
        <v>Rua 04</v>
      </c>
      <c r="AV16" s="13"/>
    </row>
    <row r="17" spans="1:48" s="5" customFormat="1" ht="21.95" customHeight="1" x14ac:dyDescent="0.2">
      <c r="A17" s="4"/>
      <c r="B17" s="130" t="str">
        <f>'Resumo dos Cortes'!A20</f>
        <v>C.4</v>
      </c>
      <c r="C17" s="35">
        <f>IFERROR(VLOOKUP(B17,'Resumo dos Cortes'!$A$13:$L$35,2,0),"")</f>
        <v>0</v>
      </c>
      <c r="D17" s="36" t="str">
        <f>IFERROR(VLOOKUP(B17,'Resumo dos Cortes'!$A$13:$L$35,3,0),"")</f>
        <v>+</v>
      </c>
      <c r="E17" s="37">
        <f>IFERROR(VLOOKUP(B17,'Resumo dos Cortes'!$A$13:$L$35,4,0),"")</f>
        <v>0</v>
      </c>
      <c r="F17" s="38" t="s">
        <v>34</v>
      </c>
      <c r="G17" s="38">
        <f>IFERROR(VLOOKUP(B17,'Resumo dos Cortes'!$A$13:$L$35,5,0),"")</f>
        <v>2</v>
      </c>
      <c r="H17" s="38" t="str">
        <f>IFERROR(VLOOKUP(B17,'Resumo dos Cortes'!$A$13:$L$35,6,0),"")</f>
        <v>+</v>
      </c>
      <c r="I17" s="37">
        <f>IFERROR(VLOOKUP(B17,'Resumo dos Cortes'!$A$13:$L$35,7,0),"")</f>
        <v>10.51</v>
      </c>
      <c r="J17" s="38"/>
      <c r="K17" s="38"/>
      <c r="L17" s="38"/>
      <c r="M17" s="39"/>
      <c r="N17" s="132">
        <f>'Resumo dos Cortes'!H20</f>
        <v>727.82</v>
      </c>
      <c r="O17" s="132"/>
      <c r="P17" s="129"/>
      <c r="Q17" s="38"/>
      <c r="R17" s="38"/>
      <c r="S17" s="37"/>
      <c r="T17" s="38"/>
      <c r="U17" s="38"/>
      <c r="V17" s="38"/>
      <c r="W17" s="37"/>
      <c r="X17" s="38"/>
      <c r="Y17" s="38"/>
      <c r="Z17" s="38"/>
      <c r="AA17" s="39"/>
      <c r="AB17" s="132"/>
      <c r="AC17" s="132"/>
      <c r="AD17" s="132"/>
      <c r="AE17" s="134"/>
      <c r="AF17" s="135"/>
      <c r="AG17" s="35" t="s">
        <v>86</v>
      </c>
      <c r="AH17" s="161" t="s">
        <v>136</v>
      </c>
      <c r="AI17" s="37"/>
      <c r="AJ17" s="38"/>
      <c r="AK17" s="38"/>
      <c r="AL17" s="38" t="s">
        <v>46</v>
      </c>
      <c r="AM17" s="37">
        <f>0.58+16+0.5</f>
        <v>17.079999999999998</v>
      </c>
      <c r="AN17" s="38" t="s">
        <v>87</v>
      </c>
      <c r="AO17" s="38"/>
      <c r="AP17" s="38"/>
      <c r="AQ17" s="39"/>
      <c r="AR17" s="28">
        <f>N17</f>
        <v>727.82</v>
      </c>
      <c r="AS17" s="29">
        <f>((G17+I17/20+C17+E17/20)/2)*20/1000+AM17</f>
        <v>17.11</v>
      </c>
      <c r="AT17" s="30">
        <f>AR17*AS17</f>
        <v>12453</v>
      </c>
      <c r="AU17" s="155" t="str">
        <f>'Resumo dos Cortes'!L20</f>
        <v>Rua 05</v>
      </c>
      <c r="AV17" s="13"/>
    </row>
    <row r="18" spans="1:48" s="5" customFormat="1" ht="21.95" customHeight="1" x14ac:dyDescent="0.2">
      <c r="A18" s="4"/>
      <c r="B18" s="130" t="str">
        <f>'Resumo dos Cortes'!A21</f>
        <v>C.5</v>
      </c>
      <c r="C18" s="35">
        <f>IFERROR(VLOOKUP(B18,'Resumo dos Cortes'!$A$13:$L$35,2,0),"")</f>
        <v>0</v>
      </c>
      <c r="D18" s="36" t="str">
        <f>IFERROR(VLOOKUP(B18,'Resumo dos Cortes'!$A$13:$L$35,3,0),"")</f>
        <v>+</v>
      </c>
      <c r="E18" s="37">
        <f>IFERROR(VLOOKUP(B18,'Resumo dos Cortes'!$A$13:$L$35,4,0),"")</f>
        <v>0</v>
      </c>
      <c r="F18" s="38" t="s">
        <v>34</v>
      </c>
      <c r="G18" s="38">
        <f>IFERROR(VLOOKUP(B18,'Resumo dos Cortes'!$A$13:$L$35,5,0),"")</f>
        <v>3</v>
      </c>
      <c r="H18" s="38" t="str">
        <f>IFERROR(VLOOKUP(B18,'Resumo dos Cortes'!$A$13:$L$35,6,0),"")</f>
        <v>+</v>
      </c>
      <c r="I18" s="37">
        <f>IFERROR(VLOOKUP(B18,'Resumo dos Cortes'!$A$13:$L$35,7,0),"")</f>
        <v>5.12</v>
      </c>
      <c r="J18" s="38"/>
      <c r="K18" s="38"/>
      <c r="L18" s="38"/>
      <c r="M18" s="39"/>
      <c r="N18" s="132">
        <f>'Resumo dos Cortes'!H21</f>
        <v>462.32</v>
      </c>
      <c r="O18" s="132"/>
      <c r="P18" s="129"/>
      <c r="Q18" s="38"/>
      <c r="R18" s="38"/>
      <c r="S18" s="37"/>
      <c r="T18" s="38"/>
      <c r="U18" s="38"/>
      <c r="V18" s="38"/>
      <c r="W18" s="37"/>
      <c r="X18" s="38"/>
      <c r="Y18" s="38"/>
      <c r="Z18" s="38"/>
      <c r="AA18" s="39"/>
      <c r="AB18" s="132"/>
      <c r="AC18" s="132"/>
      <c r="AD18" s="132"/>
      <c r="AE18" s="134"/>
      <c r="AF18" s="135"/>
      <c r="AG18" s="35" t="s">
        <v>86</v>
      </c>
      <c r="AH18" s="161" t="s">
        <v>136</v>
      </c>
      <c r="AI18" s="37"/>
      <c r="AJ18" s="38"/>
      <c r="AK18" s="38"/>
      <c r="AL18" s="38" t="s">
        <v>46</v>
      </c>
      <c r="AM18" s="37">
        <f>0.58+16+0.5</f>
        <v>17.079999999999998</v>
      </c>
      <c r="AN18" s="38" t="s">
        <v>87</v>
      </c>
      <c r="AO18" s="38"/>
      <c r="AP18" s="38"/>
      <c r="AQ18" s="39"/>
      <c r="AR18" s="28">
        <f>N18</f>
        <v>462.32</v>
      </c>
      <c r="AS18" s="29">
        <f>((G18+I18/20+C18+E18/20)/2)*20/1000+AM18</f>
        <v>17.11</v>
      </c>
      <c r="AT18" s="30">
        <f>AR18*AS18</f>
        <v>7910.3</v>
      </c>
      <c r="AU18" s="155" t="str">
        <f>'Resumo dos Cortes'!L21</f>
        <v>Rua 06</v>
      </c>
      <c r="AV18" s="13"/>
    </row>
    <row r="19" spans="1:48" s="5" customFormat="1" ht="21.95" customHeight="1" x14ac:dyDescent="0.2">
      <c r="A19" s="4"/>
      <c r="B19" s="130" t="str">
        <f>'Resumo dos Cortes'!A22</f>
        <v>C.6</v>
      </c>
      <c r="C19" s="35">
        <f>IFERROR(VLOOKUP(B19,'Resumo dos Cortes'!$A$13:$L$35,2,0),"")</f>
        <v>0</v>
      </c>
      <c r="D19" s="36" t="str">
        <f>IFERROR(VLOOKUP(B19,'Resumo dos Cortes'!$A$13:$L$35,3,0),"")</f>
        <v>+</v>
      </c>
      <c r="E19" s="37">
        <f>IFERROR(VLOOKUP(B19,'Resumo dos Cortes'!$A$13:$L$35,4,0),"")</f>
        <v>0</v>
      </c>
      <c r="F19" s="38" t="s">
        <v>34</v>
      </c>
      <c r="G19" s="38">
        <f>IFERROR(VLOOKUP(B19,'Resumo dos Cortes'!$A$13:$L$35,5,0),"")</f>
        <v>4</v>
      </c>
      <c r="H19" s="38" t="str">
        <f>IFERROR(VLOOKUP(B19,'Resumo dos Cortes'!$A$13:$L$35,6,0),"")</f>
        <v>+</v>
      </c>
      <c r="I19" s="37">
        <f>IFERROR(VLOOKUP(B19,'Resumo dos Cortes'!$A$13:$L$35,7,0),"")</f>
        <v>5.32</v>
      </c>
      <c r="J19" s="38"/>
      <c r="K19" s="38"/>
      <c r="L19" s="38"/>
      <c r="M19" s="39"/>
      <c r="N19" s="132">
        <f>'Resumo dos Cortes'!H22</f>
        <v>230.05</v>
      </c>
      <c r="O19" s="132"/>
      <c r="P19" s="129"/>
      <c r="Q19" s="38"/>
      <c r="R19" s="38"/>
      <c r="S19" s="37"/>
      <c r="T19" s="38"/>
      <c r="U19" s="38"/>
      <c r="V19" s="38"/>
      <c r="W19" s="37"/>
      <c r="X19" s="38"/>
      <c r="Y19" s="38"/>
      <c r="Z19" s="38"/>
      <c r="AA19" s="39"/>
      <c r="AB19" s="132"/>
      <c r="AC19" s="132"/>
      <c r="AD19" s="132"/>
      <c r="AE19" s="134"/>
      <c r="AF19" s="135"/>
      <c r="AG19" s="35" t="s">
        <v>86</v>
      </c>
      <c r="AH19" s="161" t="s">
        <v>136</v>
      </c>
      <c r="AI19" s="37"/>
      <c r="AJ19" s="38"/>
      <c r="AK19" s="38"/>
      <c r="AL19" s="38" t="s">
        <v>46</v>
      </c>
      <c r="AM19" s="37">
        <f t="shared" ref="AM19" si="3">0.58+16+0.5</f>
        <v>17.079999999999998</v>
      </c>
      <c r="AN19" s="38" t="s">
        <v>87</v>
      </c>
      <c r="AO19" s="38"/>
      <c r="AP19" s="38"/>
      <c r="AQ19" s="39"/>
      <c r="AR19" s="28">
        <f>N19</f>
        <v>230.05</v>
      </c>
      <c r="AS19" s="29">
        <f>((G19+I19/20+C19+E19/20)/2)*20/1000+AM19</f>
        <v>17.12</v>
      </c>
      <c r="AT19" s="30">
        <f>AR19*AS19</f>
        <v>3938.46</v>
      </c>
      <c r="AU19" s="155" t="str">
        <f>'Resumo dos Cortes'!L22</f>
        <v>Rua 07</v>
      </c>
      <c r="AV19" s="13"/>
    </row>
    <row r="20" spans="1:48" s="5" customFormat="1" ht="21.95" customHeight="1" x14ac:dyDescent="0.2">
      <c r="A20" s="4"/>
      <c r="B20" s="130" t="s">
        <v>135</v>
      </c>
      <c r="C20" s="35">
        <v>0</v>
      </c>
      <c r="D20" s="36" t="s">
        <v>35</v>
      </c>
      <c r="E20" s="37">
        <v>0</v>
      </c>
      <c r="F20" s="38" t="s">
        <v>46</v>
      </c>
      <c r="G20" s="37">
        <f>0.25+9.24+0.58</f>
        <v>10.07</v>
      </c>
      <c r="H20" s="38" t="s">
        <v>87</v>
      </c>
      <c r="I20" s="37"/>
      <c r="J20" s="38"/>
      <c r="K20" s="38"/>
      <c r="L20" s="38"/>
      <c r="M20" s="39"/>
      <c r="N20" s="132">
        <f>'Resumo dos Cortes'!J23*1.25</f>
        <v>658.88</v>
      </c>
      <c r="O20" s="132"/>
      <c r="P20" s="129" t="str">
        <f>'Resumo dos Cortes'!A23</f>
        <v>A.6</v>
      </c>
      <c r="Q20" s="156">
        <f>'Resumo dos Cortes'!B23</f>
        <v>0</v>
      </c>
      <c r="R20" s="38" t="str">
        <f>'Resumo dos Cortes'!C23</f>
        <v>+</v>
      </c>
      <c r="S20" s="37">
        <f>'Resumo dos Cortes'!D23</f>
        <v>0</v>
      </c>
      <c r="T20" s="38" t="s">
        <v>34</v>
      </c>
      <c r="U20" s="156">
        <f>'Resumo dos Cortes'!E23</f>
        <v>4</v>
      </c>
      <c r="V20" s="156" t="str">
        <f>'Resumo dos Cortes'!F23</f>
        <v>+</v>
      </c>
      <c r="W20" s="37">
        <f>'Resumo dos Cortes'!G23</f>
        <v>5.32</v>
      </c>
      <c r="X20" s="38"/>
      <c r="Y20" s="38"/>
      <c r="Z20" s="38"/>
      <c r="AA20" s="39"/>
      <c r="AB20" s="132">
        <f>N20</f>
        <v>658.88</v>
      </c>
      <c r="AC20" s="132"/>
      <c r="AD20" s="162">
        <f>((U20+W20/20+Q20+S20/20)/2)*20/1000+G20</f>
        <v>10.11</v>
      </c>
      <c r="AE20" s="134"/>
      <c r="AF20" s="135">
        <f t="shared" ref="AF20" si="4">IFERROR(IF(AD20&gt;0,AD20*N20),"")</f>
        <v>6661.28</v>
      </c>
      <c r="AG20" s="35"/>
      <c r="AH20" s="38"/>
      <c r="AI20" s="37"/>
      <c r="AJ20" s="38"/>
      <c r="AK20" s="38"/>
      <c r="AL20" s="38"/>
      <c r="AM20" s="37"/>
      <c r="AN20" s="38"/>
      <c r="AO20" s="38"/>
      <c r="AP20" s="38"/>
      <c r="AQ20" s="39"/>
      <c r="AR20" s="28"/>
      <c r="AS20" s="29"/>
      <c r="AT20" s="30"/>
      <c r="AU20" s="155" t="str">
        <f>'Resumo dos Cortes'!L23</f>
        <v>Rua 07</v>
      </c>
      <c r="AV20" s="13"/>
    </row>
    <row r="21" spans="1:48" s="5" customFormat="1" ht="21.95" customHeight="1" x14ac:dyDescent="0.2">
      <c r="A21" s="4"/>
      <c r="B21" s="130" t="str">
        <f>'Resumo dos Cortes'!A24</f>
        <v>C.7</v>
      </c>
      <c r="C21" s="35">
        <f>IFERROR(VLOOKUP(B21,'Resumo dos Cortes'!$A$13:$L$35,2,0),"")</f>
        <v>0</v>
      </c>
      <c r="D21" s="36" t="str">
        <f>IFERROR(VLOOKUP(B21,'Resumo dos Cortes'!$A$13:$L$35,3,0),"")</f>
        <v>+</v>
      </c>
      <c r="E21" s="37">
        <f>IFERROR(VLOOKUP(B21,'Resumo dos Cortes'!$A$13:$L$35,4,0),"")</f>
        <v>0</v>
      </c>
      <c r="F21" s="38" t="s">
        <v>34</v>
      </c>
      <c r="G21" s="38">
        <f>IFERROR(VLOOKUP(B21,'Resumo dos Cortes'!$A$13:$L$35,5,0),"")</f>
        <v>4</v>
      </c>
      <c r="H21" s="38" t="str">
        <f>IFERROR(VLOOKUP(B21,'Resumo dos Cortes'!$A$13:$L$35,6,0),"")</f>
        <v>+</v>
      </c>
      <c r="I21" s="37">
        <f>IFERROR(VLOOKUP(B21,'Resumo dos Cortes'!$A$13:$L$35,7,0),"")</f>
        <v>5.32</v>
      </c>
      <c r="J21" s="38"/>
      <c r="K21" s="38"/>
      <c r="L21" s="38"/>
      <c r="M21" s="39"/>
      <c r="N21" s="132">
        <f>'Resumo dos Cortes'!H24</f>
        <v>265.83</v>
      </c>
      <c r="O21" s="132"/>
      <c r="P21" s="129"/>
      <c r="Q21" s="38"/>
      <c r="R21" s="38"/>
      <c r="S21" s="37"/>
      <c r="T21" s="38"/>
      <c r="U21" s="38"/>
      <c r="V21" s="38"/>
      <c r="W21" s="37"/>
      <c r="X21" s="38"/>
      <c r="Y21" s="38"/>
      <c r="Z21" s="38"/>
      <c r="AA21" s="39"/>
      <c r="AB21" s="132"/>
      <c r="AC21" s="132"/>
      <c r="AD21" s="132"/>
      <c r="AE21" s="134"/>
      <c r="AF21" s="135"/>
      <c r="AG21" s="35" t="s">
        <v>86</v>
      </c>
      <c r="AH21" s="161" t="s">
        <v>136</v>
      </c>
      <c r="AI21" s="37"/>
      <c r="AJ21" s="38"/>
      <c r="AK21" s="38"/>
      <c r="AL21" s="38" t="s">
        <v>46</v>
      </c>
      <c r="AM21" s="37">
        <f t="shared" ref="AM21" si="5">0.58+16+0.5</f>
        <v>17.079999999999998</v>
      </c>
      <c r="AN21" s="38" t="s">
        <v>87</v>
      </c>
      <c r="AO21" s="38"/>
      <c r="AP21" s="38"/>
      <c r="AQ21" s="39"/>
      <c r="AR21" s="28">
        <f>N21</f>
        <v>265.83</v>
      </c>
      <c r="AS21" s="29">
        <f>((G21+I21/20+C21+E21/20)/2)*20/1000+AM21</f>
        <v>17.12</v>
      </c>
      <c r="AT21" s="30">
        <f>AR21*AS21</f>
        <v>4551.01</v>
      </c>
      <c r="AU21" s="155" t="str">
        <f>'Resumo dos Cortes'!L24</f>
        <v>Rua 08</v>
      </c>
      <c r="AV21" s="13"/>
    </row>
    <row r="22" spans="1:48" s="5" customFormat="1" ht="21.95" customHeight="1" x14ac:dyDescent="0.2">
      <c r="A22" s="4"/>
      <c r="B22" s="130" t="s">
        <v>135</v>
      </c>
      <c r="C22" s="35">
        <v>0</v>
      </c>
      <c r="D22" s="36" t="s">
        <v>35</v>
      </c>
      <c r="E22" s="37">
        <v>0</v>
      </c>
      <c r="F22" s="38" t="s">
        <v>46</v>
      </c>
      <c r="G22" s="37">
        <f>0.25+9.24+0.58</f>
        <v>10.07</v>
      </c>
      <c r="H22" s="38" t="s">
        <v>87</v>
      </c>
      <c r="I22" s="37"/>
      <c r="J22" s="38"/>
      <c r="K22" s="38"/>
      <c r="L22" s="38"/>
      <c r="M22" s="39"/>
      <c r="N22" s="132">
        <f>'Resumo dos Cortes'!J25*1.25</f>
        <v>32.53</v>
      </c>
      <c r="O22" s="132"/>
      <c r="P22" s="129" t="str">
        <f>'Resumo dos Cortes'!A25</f>
        <v>A.7</v>
      </c>
      <c r="Q22" s="156">
        <f>'Resumo dos Cortes'!B25</f>
        <v>0</v>
      </c>
      <c r="R22" s="38" t="str">
        <f>'Resumo dos Cortes'!C25</f>
        <v>+</v>
      </c>
      <c r="S22" s="37">
        <f>'Resumo dos Cortes'!D25</f>
        <v>0</v>
      </c>
      <c r="T22" s="38" t="s">
        <v>34</v>
      </c>
      <c r="U22" s="156">
        <f>'Resumo dos Cortes'!E25</f>
        <v>4</v>
      </c>
      <c r="V22" s="156" t="str">
        <f>'Resumo dos Cortes'!F25</f>
        <v>+</v>
      </c>
      <c r="W22" s="37">
        <f>'Resumo dos Cortes'!G25</f>
        <v>5.32</v>
      </c>
      <c r="X22" s="38"/>
      <c r="Y22" s="38"/>
      <c r="Z22" s="38"/>
      <c r="AA22" s="39"/>
      <c r="AB22" s="132">
        <f>N22</f>
        <v>32.53</v>
      </c>
      <c r="AC22" s="132"/>
      <c r="AD22" s="162">
        <f>((U22+W22/20+Q22+S22/20)/2)*20/1000+G22</f>
        <v>10.11</v>
      </c>
      <c r="AE22" s="134"/>
      <c r="AF22" s="135">
        <f t="shared" ref="AF22" si="6">IFERROR(IF(AD22&gt;0,AD22*N22),"")</f>
        <v>328.88</v>
      </c>
      <c r="AG22" s="35"/>
      <c r="AH22" s="38"/>
      <c r="AI22" s="37"/>
      <c r="AJ22" s="38"/>
      <c r="AK22" s="38"/>
      <c r="AL22" s="38"/>
      <c r="AM22" s="37"/>
      <c r="AN22" s="38"/>
      <c r="AO22" s="38"/>
      <c r="AP22" s="38"/>
      <c r="AQ22" s="39"/>
      <c r="AR22" s="28"/>
      <c r="AS22" s="29"/>
      <c r="AT22" s="30"/>
      <c r="AU22" s="155" t="str">
        <f>'Resumo dos Cortes'!L25</f>
        <v>Rua 08</v>
      </c>
      <c r="AV22" s="13"/>
    </row>
    <row r="23" spans="1:48" s="5" customFormat="1" ht="21.95" customHeight="1" x14ac:dyDescent="0.2">
      <c r="A23" s="4"/>
      <c r="B23" s="130" t="str">
        <f>'Resumo dos Cortes'!A26</f>
        <v>C.8</v>
      </c>
      <c r="C23" s="35">
        <f>IFERROR(VLOOKUP(B23,'Resumo dos Cortes'!$A$13:$L$35,2,0),"")</f>
        <v>0</v>
      </c>
      <c r="D23" s="36" t="str">
        <f>IFERROR(VLOOKUP(B23,'Resumo dos Cortes'!$A$13:$L$35,3,0),"")</f>
        <v>+</v>
      </c>
      <c r="E23" s="37">
        <f>IFERROR(VLOOKUP(B23,'Resumo dos Cortes'!$A$13:$L$35,4,0),"")</f>
        <v>0</v>
      </c>
      <c r="F23" s="38" t="s">
        <v>34</v>
      </c>
      <c r="G23" s="38">
        <f>IFERROR(VLOOKUP(B23,'Resumo dos Cortes'!$A$13:$L$35,5,0),"")</f>
        <v>7</v>
      </c>
      <c r="H23" s="38" t="str">
        <f>IFERROR(VLOOKUP(B23,'Resumo dos Cortes'!$A$13:$L$35,6,0),"")</f>
        <v>+</v>
      </c>
      <c r="I23" s="37">
        <f>IFERROR(VLOOKUP(B23,'Resumo dos Cortes'!$A$13:$L$35,7,0),"")</f>
        <v>17.14</v>
      </c>
      <c r="J23" s="38"/>
      <c r="K23" s="38"/>
      <c r="L23" s="38"/>
      <c r="M23" s="39"/>
      <c r="N23" s="132">
        <f>'Resumo dos Cortes'!H26</f>
        <v>463.28</v>
      </c>
      <c r="O23" s="132"/>
      <c r="P23" s="129"/>
      <c r="Q23" s="38"/>
      <c r="R23" s="38"/>
      <c r="S23" s="37"/>
      <c r="T23" s="38"/>
      <c r="U23" s="38"/>
      <c r="V23" s="38"/>
      <c r="W23" s="37"/>
      <c r="X23" s="38"/>
      <c r="Y23" s="38"/>
      <c r="Z23" s="38"/>
      <c r="AA23" s="39"/>
      <c r="AB23" s="132"/>
      <c r="AC23" s="132"/>
      <c r="AD23" s="132"/>
      <c r="AE23" s="134"/>
      <c r="AF23" s="135"/>
      <c r="AG23" s="35" t="s">
        <v>86</v>
      </c>
      <c r="AH23" s="161" t="s">
        <v>136</v>
      </c>
      <c r="AI23" s="37"/>
      <c r="AJ23" s="38"/>
      <c r="AK23" s="38"/>
      <c r="AL23" s="38" t="s">
        <v>46</v>
      </c>
      <c r="AM23" s="37">
        <f t="shared" ref="AM23" si="7">0.58+16+0.5</f>
        <v>17.079999999999998</v>
      </c>
      <c r="AN23" s="38" t="s">
        <v>87</v>
      </c>
      <c r="AO23" s="38"/>
      <c r="AP23" s="38"/>
      <c r="AQ23" s="39"/>
      <c r="AR23" s="28">
        <f>N23</f>
        <v>463.28</v>
      </c>
      <c r="AS23" s="29">
        <f>((G23+I23/20+C23+E23/20)/2)*20/1000+AM23</f>
        <v>17.16</v>
      </c>
      <c r="AT23" s="30">
        <f>AR23*AS23</f>
        <v>7949.88</v>
      </c>
      <c r="AU23" s="155" t="str">
        <f>'Resumo dos Cortes'!L26</f>
        <v>Rua 10</v>
      </c>
      <c r="AV23" s="13"/>
    </row>
    <row r="24" spans="1:48" s="5" customFormat="1" ht="21.95" customHeight="1" x14ac:dyDescent="0.2">
      <c r="A24" s="4"/>
      <c r="B24" s="130" t="s">
        <v>135</v>
      </c>
      <c r="C24" s="35">
        <v>0</v>
      </c>
      <c r="D24" s="36" t="s">
        <v>35</v>
      </c>
      <c r="E24" s="37">
        <v>0</v>
      </c>
      <c r="F24" s="38" t="s">
        <v>46</v>
      </c>
      <c r="G24" s="37">
        <f>0.25+9.24+0.58</f>
        <v>10.07</v>
      </c>
      <c r="H24" s="38" t="s">
        <v>87</v>
      </c>
      <c r="I24" s="37"/>
      <c r="J24" s="38"/>
      <c r="K24" s="38"/>
      <c r="L24" s="38"/>
      <c r="M24" s="39"/>
      <c r="N24" s="132">
        <f>'Resumo dos Cortes'!J27*1.25</f>
        <v>21.08</v>
      </c>
      <c r="O24" s="132"/>
      <c r="P24" s="129" t="str">
        <f>'Resumo dos Cortes'!A27</f>
        <v>A.8</v>
      </c>
      <c r="Q24" s="156">
        <f>'Resumo dos Cortes'!B27</f>
        <v>0</v>
      </c>
      <c r="R24" s="38" t="str">
        <f>'Resumo dos Cortes'!C27</f>
        <v>+</v>
      </c>
      <c r="S24" s="37">
        <f>'Resumo dos Cortes'!D27</f>
        <v>0</v>
      </c>
      <c r="T24" s="38" t="s">
        <v>34</v>
      </c>
      <c r="U24" s="156">
        <f>'Resumo dos Cortes'!E27</f>
        <v>7</v>
      </c>
      <c r="V24" s="156" t="str">
        <f>'Resumo dos Cortes'!F27</f>
        <v>+</v>
      </c>
      <c r="W24" s="37">
        <f>'Resumo dos Cortes'!G27</f>
        <v>17.14</v>
      </c>
      <c r="X24" s="38"/>
      <c r="Y24" s="38"/>
      <c r="Z24" s="38"/>
      <c r="AA24" s="39"/>
      <c r="AB24" s="132">
        <f>N24</f>
        <v>21.08</v>
      </c>
      <c r="AC24" s="132"/>
      <c r="AD24" s="162">
        <f>((U24+W24/20+Q24+S24/20)/2)*20/1000+G24</f>
        <v>10.15</v>
      </c>
      <c r="AE24" s="134"/>
      <c r="AF24" s="135">
        <f t="shared" ref="AF24" si="8">IFERROR(IF(AD24&gt;0,AD24*N24),"")</f>
        <v>213.96</v>
      </c>
      <c r="AG24" s="35"/>
      <c r="AH24" s="38"/>
      <c r="AI24" s="37"/>
      <c r="AJ24" s="38"/>
      <c r="AK24" s="38"/>
      <c r="AL24" s="38"/>
      <c r="AM24" s="37"/>
      <c r="AN24" s="38"/>
      <c r="AO24" s="38"/>
      <c r="AP24" s="38"/>
      <c r="AQ24" s="39"/>
      <c r="AR24" s="28"/>
      <c r="AS24" s="29"/>
      <c r="AT24" s="30"/>
      <c r="AU24" s="155" t="str">
        <f>'Resumo dos Cortes'!L27</f>
        <v>Rua 10</v>
      </c>
      <c r="AV24" s="13"/>
    </row>
    <row r="25" spans="1:48" s="5" customFormat="1" ht="21.95" customHeight="1" x14ac:dyDescent="0.2">
      <c r="A25" s="4"/>
      <c r="B25" s="130" t="str">
        <f>'Resumo dos Cortes'!A28</f>
        <v>C.9</v>
      </c>
      <c r="C25" s="129" t="str">
        <f>IFERROR(VLOOKUP(B25,'Resumo dos Cortes'!$A$13:$L$35,2,0),"")</f>
        <v>Plantô Cinema</v>
      </c>
      <c r="D25" s="36"/>
      <c r="E25" s="37"/>
      <c r="F25" s="38"/>
      <c r="G25" s="38"/>
      <c r="H25" s="38"/>
      <c r="I25" s="37"/>
      <c r="J25" s="38"/>
      <c r="K25" s="38"/>
      <c r="L25" s="38"/>
      <c r="M25" s="39"/>
      <c r="N25" s="132">
        <f>'Resumo dos Cortes'!H28</f>
        <v>322.66000000000003</v>
      </c>
      <c r="O25" s="132"/>
      <c r="P25" s="129"/>
      <c r="Q25" s="38"/>
      <c r="R25" s="38"/>
      <c r="S25" s="37"/>
      <c r="T25" s="38"/>
      <c r="U25" s="38"/>
      <c r="V25" s="38"/>
      <c r="W25" s="37"/>
      <c r="X25" s="38"/>
      <c r="Y25" s="38"/>
      <c r="Z25" s="38"/>
      <c r="AA25" s="39"/>
      <c r="AB25" s="132"/>
      <c r="AC25" s="132"/>
      <c r="AD25" s="132"/>
      <c r="AE25" s="134"/>
      <c r="AF25" s="135"/>
      <c r="AG25" s="35" t="s">
        <v>86</v>
      </c>
      <c r="AH25" s="161" t="s">
        <v>136</v>
      </c>
      <c r="AI25" s="37"/>
      <c r="AJ25" s="38"/>
      <c r="AK25" s="38"/>
      <c r="AL25" s="38" t="s">
        <v>46</v>
      </c>
      <c r="AM25" s="37">
        <f>0.58+16+0.5</f>
        <v>17.079999999999998</v>
      </c>
      <c r="AN25" s="38" t="s">
        <v>87</v>
      </c>
      <c r="AO25" s="38"/>
      <c r="AP25" s="38"/>
      <c r="AQ25" s="39"/>
      <c r="AR25" s="28">
        <f>N25</f>
        <v>322.66000000000003</v>
      </c>
      <c r="AS25" s="29">
        <f>AM25</f>
        <v>17.079999999999998</v>
      </c>
      <c r="AT25" s="30">
        <f>AR25*AS25</f>
        <v>5511.03</v>
      </c>
      <c r="AU25" s="155"/>
      <c r="AV25" s="13"/>
    </row>
    <row r="26" spans="1:48" s="5" customFormat="1" ht="21.95" customHeight="1" x14ac:dyDescent="0.2">
      <c r="A26" s="4"/>
      <c r="B26" s="130" t="s">
        <v>135</v>
      </c>
      <c r="C26" s="35">
        <v>0</v>
      </c>
      <c r="D26" s="36" t="s">
        <v>35</v>
      </c>
      <c r="E26" s="37">
        <v>0</v>
      </c>
      <c r="F26" s="38" t="s">
        <v>46</v>
      </c>
      <c r="G26" s="37">
        <f>0.25+9.24+0.58</f>
        <v>10.07</v>
      </c>
      <c r="H26" s="38" t="s">
        <v>87</v>
      </c>
      <c r="I26" s="37"/>
      <c r="J26" s="38"/>
      <c r="K26" s="38"/>
      <c r="L26" s="38"/>
      <c r="M26" s="39"/>
      <c r="N26" s="132">
        <f>'Resumo dos Cortes'!J29*1.25</f>
        <v>6494.53</v>
      </c>
      <c r="O26" s="132"/>
      <c r="P26" s="129" t="str">
        <f>'Resumo dos Cortes'!A29</f>
        <v>A.9</v>
      </c>
      <c r="Q26" s="157" t="str">
        <f>'Resumo dos Cortes'!B29</f>
        <v>Plantô Cinema</v>
      </c>
      <c r="R26" s="38"/>
      <c r="S26" s="37"/>
      <c r="T26" s="38"/>
      <c r="U26" s="156"/>
      <c r="V26" s="156"/>
      <c r="W26" s="37"/>
      <c r="X26" s="38"/>
      <c r="Y26" s="38"/>
      <c r="Z26" s="38"/>
      <c r="AA26" s="39"/>
      <c r="AB26" s="132">
        <f>N26</f>
        <v>6494.53</v>
      </c>
      <c r="AC26" s="132"/>
      <c r="AD26" s="162">
        <f>G26</f>
        <v>10.07</v>
      </c>
      <c r="AE26" s="134"/>
      <c r="AF26" s="135">
        <f t="shared" ref="AF26" si="9">IFERROR(IF(AD26&gt;0,AD26*N26),"")</f>
        <v>65399.92</v>
      </c>
      <c r="AG26" s="35"/>
      <c r="AH26" s="38"/>
      <c r="AI26" s="37"/>
      <c r="AJ26" s="38"/>
      <c r="AK26" s="38"/>
      <c r="AL26" s="38"/>
      <c r="AM26" s="37"/>
      <c r="AN26" s="38"/>
      <c r="AO26" s="38"/>
      <c r="AP26" s="38"/>
      <c r="AQ26" s="39"/>
      <c r="AR26" s="28"/>
      <c r="AS26" s="29"/>
      <c r="AT26" s="30"/>
      <c r="AU26" s="155"/>
      <c r="AV26" s="13"/>
    </row>
    <row r="27" spans="1:48" s="5" customFormat="1" ht="21.95" customHeight="1" x14ac:dyDescent="0.2">
      <c r="A27" s="4"/>
      <c r="B27" s="130" t="s">
        <v>135</v>
      </c>
      <c r="C27" s="35">
        <v>0</v>
      </c>
      <c r="D27" s="36" t="s">
        <v>35</v>
      </c>
      <c r="E27" s="37">
        <v>0</v>
      </c>
      <c r="F27" s="38" t="s">
        <v>46</v>
      </c>
      <c r="G27" s="37">
        <f>0.25+9.24+0.58</f>
        <v>10.07</v>
      </c>
      <c r="H27" s="38" t="s">
        <v>87</v>
      </c>
      <c r="I27" s="37"/>
      <c r="J27" s="38"/>
      <c r="K27" s="38"/>
      <c r="L27" s="38"/>
      <c r="M27" s="39"/>
      <c r="N27" s="132">
        <f>'Resumo dos Cortes'!J30*1.25</f>
        <v>1285.95</v>
      </c>
      <c r="O27" s="132"/>
      <c r="P27" s="129" t="str">
        <f>'Resumo dos Cortes'!A30</f>
        <v>A.10</v>
      </c>
      <c r="Q27" s="157" t="str">
        <f>'Resumo dos Cortes'!B30</f>
        <v>Plantô Concha Acústica</v>
      </c>
      <c r="R27" s="38"/>
      <c r="S27" s="37"/>
      <c r="T27" s="38"/>
      <c r="U27" s="156"/>
      <c r="V27" s="156"/>
      <c r="W27" s="37"/>
      <c r="X27" s="38"/>
      <c r="Y27" s="38"/>
      <c r="Z27" s="38"/>
      <c r="AA27" s="39"/>
      <c r="AB27" s="132">
        <f>N27</f>
        <v>1285.95</v>
      </c>
      <c r="AC27" s="132"/>
      <c r="AD27" s="162">
        <f>G27</f>
        <v>10.07</v>
      </c>
      <c r="AE27" s="134"/>
      <c r="AF27" s="135">
        <f t="shared" ref="AF27" si="10">IFERROR(IF(AD27&gt;0,AD27*N27),"")</f>
        <v>12949.52</v>
      </c>
      <c r="AG27" s="35"/>
      <c r="AH27" s="38"/>
      <c r="AI27" s="37"/>
      <c r="AJ27" s="38"/>
      <c r="AK27" s="38"/>
      <c r="AL27" s="38"/>
      <c r="AM27" s="37"/>
      <c r="AN27" s="38"/>
      <c r="AO27" s="38"/>
      <c r="AP27" s="38"/>
      <c r="AQ27" s="39"/>
      <c r="AR27" s="28"/>
      <c r="AS27" s="29"/>
      <c r="AT27" s="30"/>
      <c r="AU27" s="155"/>
      <c r="AV27" s="13"/>
    </row>
    <row r="28" spans="1:48" s="5" customFormat="1" ht="21.95" customHeight="1" x14ac:dyDescent="0.2">
      <c r="A28" s="4"/>
      <c r="B28" s="130" t="str">
        <f>'Resumo dos Cortes'!A31</f>
        <v>C.10</v>
      </c>
      <c r="C28" s="129" t="str">
        <f>IFERROR(VLOOKUP(B28,'Resumo dos Cortes'!$A$13:$L$35,2,0),"")</f>
        <v>Plantô Esplanada do Teatro</v>
      </c>
      <c r="D28" s="36"/>
      <c r="E28" s="37"/>
      <c r="F28" s="38"/>
      <c r="G28" s="38"/>
      <c r="H28" s="38"/>
      <c r="I28" s="37"/>
      <c r="J28" s="38"/>
      <c r="K28" s="38"/>
      <c r="L28" s="38"/>
      <c r="M28" s="39"/>
      <c r="N28" s="132">
        <f>'Resumo dos Cortes'!H31</f>
        <v>928.48</v>
      </c>
      <c r="O28" s="132"/>
      <c r="P28" s="129"/>
      <c r="Q28" s="38"/>
      <c r="R28" s="38"/>
      <c r="S28" s="37"/>
      <c r="T28" s="38"/>
      <c r="U28" s="38"/>
      <c r="V28" s="38"/>
      <c r="W28" s="37"/>
      <c r="X28" s="38"/>
      <c r="Y28" s="38"/>
      <c r="Z28" s="38"/>
      <c r="AA28" s="39"/>
      <c r="AB28" s="132"/>
      <c r="AC28" s="132"/>
      <c r="AD28" s="162"/>
      <c r="AE28" s="134"/>
      <c r="AF28" s="135"/>
      <c r="AG28" s="35" t="s">
        <v>86</v>
      </c>
      <c r="AH28" s="161" t="s">
        <v>136</v>
      </c>
      <c r="AI28" s="37"/>
      <c r="AJ28" s="38"/>
      <c r="AK28" s="38"/>
      <c r="AL28" s="38" t="s">
        <v>46</v>
      </c>
      <c r="AM28" s="37">
        <f>0.58+16+0.5</f>
        <v>17.079999999999998</v>
      </c>
      <c r="AN28" s="38" t="s">
        <v>87</v>
      </c>
      <c r="AO28" s="38"/>
      <c r="AP28" s="38"/>
      <c r="AQ28" s="39"/>
      <c r="AR28" s="28">
        <f>N28</f>
        <v>928.48</v>
      </c>
      <c r="AS28" s="29">
        <f>AM28</f>
        <v>17.079999999999998</v>
      </c>
      <c r="AT28" s="30">
        <f>AR28*AS28</f>
        <v>15858.44</v>
      </c>
      <c r="AU28" s="155"/>
      <c r="AV28" s="13"/>
    </row>
    <row r="29" spans="1:48" s="5" customFormat="1" ht="21.95" customHeight="1" x14ac:dyDescent="0.2">
      <c r="A29" s="4"/>
      <c r="B29" s="130" t="s">
        <v>135</v>
      </c>
      <c r="C29" s="35">
        <v>0</v>
      </c>
      <c r="D29" s="36" t="s">
        <v>35</v>
      </c>
      <c r="E29" s="37">
        <v>0</v>
      </c>
      <c r="F29" s="38" t="s">
        <v>46</v>
      </c>
      <c r="G29" s="37">
        <f>0.25+9.24+0.58</f>
        <v>10.07</v>
      </c>
      <c r="H29" s="38" t="s">
        <v>87</v>
      </c>
      <c r="I29" s="37"/>
      <c r="J29" s="38"/>
      <c r="K29" s="38"/>
      <c r="L29" s="38"/>
      <c r="M29" s="39"/>
      <c r="N29" s="132">
        <f>'Resumo dos Cortes'!J32*1.25</f>
        <v>5916.91</v>
      </c>
      <c r="O29" s="132"/>
      <c r="P29" s="129" t="str">
        <f>'Resumo dos Cortes'!A32</f>
        <v>A.11</v>
      </c>
      <c r="Q29" s="157" t="str">
        <f>'Resumo dos Cortes'!B32</f>
        <v>Plantô Esplanada do Teatro</v>
      </c>
      <c r="R29" s="38"/>
      <c r="S29" s="37"/>
      <c r="T29" s="38"/>
      <c r="U29" s="156"/>
      <c r="V29" s="156"/>
      <c r="W29" s="37"/>
      <c r="X29" s="38"/>
      <c r="Y29" s="38"/>
      <c r="Z29" s="38"/>
      <c r="AA29" s="39"/>
      <c r="AB29" s="132">
        <f>N29</f>
        <v>5916.91</v>
      </c>
      <c r="AC29" s="132"/>
      <c r="AD29" s="162">
        <f t="shared" ref="AD29:AD31" si="11">G29</f>
        <v>10.07</v>
      </c>
      <c r="AE29" s="134"/>
      <c r="AF29" s="135">
        <f t="shared" ref="AF29:AF31" si="12">IFERROR(IF(AD29&gt;0,AD29*N29),"")</f>
        <v>59583.28</v>
      </c>
      <c r="AG29" s="35"/>
      <c r="AH29" s="38"/>
      <c r="AI29" s="37"/>
      <c r="AJ29" s="38"/>
      <c r="AK29" s="38"/>
      <c r="AL29" s="38"/>
      <c r="AM29" s="37"/>
      <c r="AN29" s="38"/>
      <c r="AO29" s="38"/>
      <c r="AP29" s="38"/>
      <c r="AQ29" s="39"/>
      <c r="AR29" s="28"/>
      <c r="AS29" s="29"/>
      <c r="AT29" s="30"/>
      <c r="AU29" s="155"/>
      <c r="AV29" s="13"/>
    </row>
    <row r="30" spans="1:48" s="5" customFormat="1" ht="21.95" customHeight="1" x14ac:dyDescent="0.2">
      <c r="A30" s="4"/>
      <c r="B30" s="130" t="s">
        <v>135</v>
      </c>
      <c r="C30" s="35">
        <v>0</v>
      </c>
      <c r="D30" s="36" t="s">
        <v>35</v>
      </c>
      <c r="E30" s="37">
        <v>0</v>
      </c>
      <c r="F30" s="38" t="s">
        <v>46</v>
      </c>
      <c r="G30" s="37">
        <f>0.25+9.24+0.58</f>
        <v>10.07</v>
      </c>
      <c r="H30" s="38" t="s">
        <v>87</v>
      </c>
      <c r="I30" s="37"/>
      <c r="J30" s="38"/>
      <c r="K30" s="38"/>
      <c r="L30" s="38"/>
      <c r="M30" s="39"/>
      <c r="N30" s="132">
        <f>'Resumo dos Cortes'!J33*1.25</f>
        <v>2134.88</v>
      </c>
      <c r="O30" s="132"/>
      <c r="P30" s="129" t="str">
        <f>'Resumo dos Cortes'!A33</f>
        <v>A.12</v>
      </c>
      <c r="Q30" s="157" t="str">
        <f>'Resumo dos Cortes'!B33</f>
        <v>Rampa Ac. Serviços - Veículos</v>
      </c>
      <c r="R30" s="38"/>
      <c r="S30" s="37"/>
      <c r="T30" s="38"/>
      <c r="U30" s="156"/>
      <c r="V30" s="156"/>
      <c r="W30" s="37"/>
      <c r="X30" s="38"/>
      <c r="Y30" s="38"/>
      <c r="Z30" s="38"/>
      <c r="AA30" s="39"/>
      <c r="AB30" s="132">
        <f>N30</f>
        <v>2134.88</v>
      </c>
      <c r="AC30" s="132"/>
      <c r="AD30" s="162">
        <f t="shared" si="11"/>
        <v>10.07</v>
      </c>
      <c r="AE30" s="134"/>
      <c r="AF30" s="135">
        <f t="shared" si="12"/>
        <v>21498.240000000002</v>
      </c>
      <c r="AG30" s="35"/>
      <c r="AH30" s="38"/>
      <c r="AI30" s="37"/>
      <c r="AJ30" s="38"/>
      <c r="AK30" s="38"/>
      <c r="AL30" s="38"/>
      <c r="AM30" s="37"/>
      <c r="AN30" s="38"/>
      <c r="AO30" s="38"/>
      <c r="AP30" s="38"/>
      <c r="AQ30" s="39"/>
      <c r="AR30" s="28"/>
      <c r="AS30" s="29"/>
      <c r="AT30" s="30"/>
      <c r="AU30" s="155"/>
      <c r="AV30" s="13"/>
    </row>
    <row r="31" spans="1:48" s="5" customFormat="1" ht="21.95" customHeight="1" x14ac:dyDescent="0.2">
      <c r="A31" s="4"/>
      <c r="B31" s="130" t="s">
        <v>135</v>
      </c>
      <c r="C31" s="35">
        <v>0</v>
      </c>
      <c r="D31" s="36" t="s">
        <v>35</v>
      </c>
      <c r="E31" s="37">
        <v>0</v>
      </c>
      <c r="F31" s="38" t="s">
        <v>46</v>
      </c>
      <c r="G31" s="37">
        <f>0.25+9.24+0.58</f>
        <v>10.07</v>
      </c>
      <c r="H31" s="38" t="s">
        <v>87</v>
      </c>
      <c r="I31" s="37"/>
      <c r="J31" s="38"/>
      <c r="K31" s="38"/>
      <c r="L31" s="38"/>
      <c r="M31" s="39"/>
      <c r="N31" s="132">
        <f>'Resumo dos Cortes'!J34*1.25</f>
        <v>3592.73</v>
      </c>
      <c r="O31" s="132"/>
      <c r="P31" s="129" t="str">
        <f>'Resumo dos Cortes'!A34</f>
        <v>A.13</v>
      </c>
      <c r="Q31" s="157" t="str">
        <f>'Resumo dos Cortes'!B34</f>
        <v>Rampa Ac. Serviços - Pedestres</v>
      </c>
      <c r="R31" s="38"/>
      <c r="S31" s="37"/>
      <c r="T31" s="38"/>
      <c r="U31" s="156"/>
      <c r="V31" s="156"/>
      <c r="W31" s="37"/>
      <c r="X31" s="38"/>
      <c r="Y31" s="38"/>
      <c r="Z31" s="38"/>
      <c r="AA31" s="39"/>
      <c r="AB31" s="132">
        <f>N31</f>
        <v>3592.73</v>
      </c>
      <c r="AC31" s="132"/>
      <c r="AD31" s="162">
        <f t="shared" si="11"/>
        <v>10.07</v>
      </c>
      <c r="AE31" s="134"/>
      <c r="AF31" s="135">
        <f t="shared" si="12"/>
        <v>36178.79</v>
      </c>
      <c r="AG31" s="35"/>
      <c r="AH31" s="38"/>
      <c r="AI31" s="37"/>
      <c r="AJ31" s="38"/>
      <c r="AK31" s="38"/>
      <c r="AL31" s="38"/>
      <c r="AM31" s="37"/>
      <c r="AN31" s="38"/>
      <c r="AO31" s="38"/>
      <c r="AP31" s="38"/>
      <c r="AQ31" s="39"/>
      <c r="AR31" s="28"/>
      <c r="AS31" s="29"/>
      <c r="AT31" s="30"/>
      <c r="AU31" s="155"/>
      <c r="AV31" s="13"/>
    </row>
    <row r="32" spans="1:48" s="5" customFormat="1" ht="21.95" customHeight="1" x14ac:dyDescent="0.2">
      <c r="A32" s="4"/>
      <c r="B32" s="40"/>
      <c r="C32" s="41"/>
      <c r="D32" s="42"/>
      <c r="E32" s="43"/>
      <c r="F32" s="42"/>
      <c r="G32" s="42"/>
      <c r="H32" s="42"/>
      <c r="I32" s="43"/>
      <c r="J32" s="42"/>
      <c r="K32" s="42"/>
      <c r="L32" s="42"/>
      <c r="M32" s="44"/>
      <c r="N32" s="133"/>
      <c r="O32" s="133"/>
      <c r="P32" s="41"/>
      <c r="Q32" s="42"/>
      <c r="R32" s="42"/>
      <c r="S32" s="43"/>
      <c r="T32" s="42"/>
      <c r="U32" s="42"/>
      <c r="V32" s="42"/>
      <c r="W32" s="43"/>
      <c r="X32" s="42"/>
      <c r="Y32" s="42"/>
      <c r="Z32" s="42"/>
      <c r="AA32" s="44"/>
      <c r="AB32" s="133"/>
      <c r="AC32" s="136"/>
      <c r="AD32" s="133"/>
      <c r="AE32" s="137"/>
      <c r="AF32" s="138"/>
      <c r="AG32" s="41"/>
      <c r="AH32" s="42"/>
      <c r="AI32" s="43"/>
      <c r="AJ32" s="42"/>
      <c r="AK32" s="42"/>
      <c r="AL32" s="42"/>
      <c r="AM32" s="43"/>
      <c r="AN32" s="42"/>
      <c r="AO32" s="42"/>
      <c r="AP32" s="42"/>
      <c r="AQ32" s="44"/>
      <c r="AR32" s="45"/>
      <c r="AS32" s="46"/>
      <c r="AT32" s="47"/>
      <c r="AU32" s="47"/>
      <c r="AV32" s="13"/>
    </row>
    <row r="33" spans="1:48" ht="21.95" customHeight="1" x14ac:dyDescent="0.2">
      <c r="A33" s="4"/>
      <c r="B33" s="48"/>
      <c r="C33" s="49"/>
      <c r="D33" s="50"/>
      <c r="E33" s="50"/>
      <c r="F33" s="50"/>
      <c r="G33" s="50"/>
      <c r="H33" s="50" t="s">
        <v>11</v>
      </c>
      <c r="I33" s="50"/>
      <c r="J33" s="50"/>
      <c r="K33" s="50"/>
      <c r="L33" s="50"/>
      <c r="M33" s="51"/>
      <c r="N33" s="160">
        <f>SUBTOTAL(9,N10:N32)</f>
        <v>31652.12</v>
      </c>
      <c r="O33" s="160">
        <f>SUBTOTAL(9,O10:O32)</f>
        <v>0</v>
      </c>
      <c r="P33" s="49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1"/>
      <c r="AB33" s="160">
        <f>SUBTOTAL(9,AB10:AB32)</f>
        <v>24147.14</v>
      </c>
      <c r="AC33" s="160">
        <f>SUBTOTAL(9,AC10:AC32)</f>
        <v>0</v>
      </c>
      <c r="AD33" s="160">
        <f>IFERROR(AE33/AB33*1.25,"")</f>
        <v>12.62</v>
      </c>
      <c r="AE33" s="170">
        <f>SUBTOTAL(9,AF10:AF32)</f>
        <v>243802.31</v>
      </c>
      <c r="AF33" s="170">
        <f>SUBTOTAL(9,AF10:AF32)</f>
        <v>243802.31</v>
      </c>
      <c r="AG33" s="49"/>
      <c r="AH33" s="50"/>
      <c r="AI33" s="50"/>
      <c r="AJ33" s="50"/>
      <c r="AK33" s="50"/>
      <c r="AL33" s="50"/>
      <c r="AM33" s="50"/>
      <c r="AN33" s="50"/>
      <c r="AO33" s="50"/>
      <c r="AP33" s="50"/>
      <c r="AQ33" s="51"/>
      <c r="AR33" s="128">
        <f>SUBTOTAL(9,AR10:AR32)</f>
        <v>7504.98</v>
      </c>
      <c r="AS33" s="128">
        <f>IFERROR(AT33/AR33,"")</f>
        <v>17.18</v>
      </c>
      <c r="AT33" s="128">
        <f>SUBTOTAL(9,AT10:AT32)</f>
        <v>128938.8</v>
      </c>
      <c r="AU33" s="128"/>
      <c r="AV33" s="15"/>
    </row>
    <row r="34" spans="1:48" ht="15.95" customHeight="1" x14ac:dyDescent="0.2">
      <c r="A34" s="4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R34" s="53"/>
      <c r="AB34" s="149"/>
      <c r="AC34" s="8"/>
      <c r="AD34" s="8"/>
      <c r="AE34" s="8"/>
      <c r="AF34" s="8"/>
      <c r="AR34" s="8"/>
      <c r="AS34" s="8"/>
      <c r="AT34" s="8"/>
      <c r="AU34" s="8"/>
      <c r="AV34" s="13"/>
    </row>
    <row r="35" spans="1:48" ht="15.95" customHeight="1" x14ac:dyDescent="0.2">
      <c r="A35" s="4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R35" s="53"/>
      <c r="AB35" s="8"/>
      <c r="AC35" s="8"/>
      <c r="AD35" s="8"/>
      <c r="AE35" s="8"/>
      <c r="AF35" s="8"/>
      <c r="AR35" s="8"/>
      <c r="AS35" s="8"/>
      <c r="AT35" s="8"/>
      <c r="AU35" s="8"/>
      <c r="AV35" s="13"/>
    </row>
    <row r="36" spans="1:48" ht="15.75" customHeight="1" x14ac:dyDescent="0.2">
      <c r="A36" s="4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R36" s="53"/>
      <c r="AB36" s="8"/>
      <c r="AC36" s="8"/>
      <c r="AD36" s="8"/>
      <c r="AE36" s="8"/>
      <c r="AF36" s="8"/>
      <c r="AR36" s="8"/>
      <c r="AS36" s="8"/>
      <c r="AT36" s="8"/>
      <c r="AU36" s="8"/>
      <c r="AV36" s="13"/>
    </row>
    <row r="37" spans="1:48" ht="15.95" customHeight="1" x14ac:dyDescent="0.2">
      <c r="A37" s="4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R37" s="53"/>
      <c r="AB37" s="8"/>
      <c r="AC37" s="8"/>
      <c r="AD37" s="8"/>
      <c r="AE37" s="8"/>
      <c r="AF37" s="8"/>
      <c r="AR37" s="8"/>
      <c r="AS37" s="8"/>
      <c r="AT37" s="8"/>
      <c r="AU37" s="8"/>
      <c r="AV37" s="13"/>
    </row>
    <row r="38" spans="1:48" ht="15.95" customHeight="1" x14ac:dyDescent="0.2">
      <c r="A38" s="4"/>
      <c r="B38" s="8"/>
      <c r="C38" s="54"/>
      <c r="E38" s="53"/>
      <c r="G38" s="53"/>
      <c r="N38" s="20"/>
      <c r="O38" s="59"/>
      <c r="R38" s="53"/>
      <c r="AB38" s="8"/>
      <c r="AC38" s="8"/>
      <c r="AD38" s="8"/>
      <c r="AE38" s="8"/>
      <c r="AF38" s="8"/>
      <c r="AR38" s="8"/>
      <c r="AS38" s="8"/>
      <c r="AT38" s="8"/>
      <c r="AU38" s="8"/>
      <c r="AV38" s="13"/>
    </row>
    <row r="39" spans="1:48" ht="15.95" customHeight="1" thickBot="1" x14ac:dyDescent="0.25">
      <c r="A39" s="141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21"/>
      <c r="O39" s="21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21"/>
      <c r="AC39" s="18"/>
      <c r="AD39" s="19"/>
      <c r="AE39" s="22"/>
      <c r="AF39" s="22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21"/>
      <c r="AS39" s="17"/>
      <c r="AT39" s="19"/>
      <c r="AU39" s="19"/>
      <c r="AV39" s="142"/>
    </row>
    <row r="40" spans="1:48" ht="9.9499999999999993" customHeight="1" x14ac:dyDescent="0.2">
      <c r="A40" s="7"/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5"/>
      <c r="N40" s="139"/>
      <c r="O40" s="6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5"/>
      <c r="AB40" s="139"/>
      <c r="AC40" s="139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1"/>
      <c r="AO40" s="171"/>
      <c r="AP40" s="171"/>
      <c r="AQ40" s="171"/>
      <c r="AR40" s="171"/>
      <c r="AS40" s="171"/>
      <c r="AT40" s="205"/>
      <c r="AU40" s="205"/>
      <c r="AV40" s="205"/>
    </row>
    <row r="41" spans="1:48" ht="15.95" customHeight="1" x14ac:dyDescent="0.2">
      <c r="A41" s="7"/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"/>
      <c r="N41" s="139"/>
      <c r="O41" s="6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"/>
      <c r="AB41" s="139"/>
      <c r="AC41" s="139"/>
      <c r="AD41" s="167"/>
      <c r="AE41" s="167"/>
      <c r="AF41" s="168"/>
      <c r="AG41" s="169"/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7"/>
      <c r="AU41" s="167"/>
      <c r="AV41" s="167"/>
    </row>
    <row r="42" spans="1:48" ht="15.95" customHeight="1" x14ac:dyDescent="0.2">
      <c r="A42" s="7"/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"/>
      <c r="N42" s="139"/>
      <c r="O42" s="6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"/>
      <c r="AB42" s="139"/>
      <c r="AC42" s="139"/>
      <c r="AD42" s="167"/>
      <c r="AE42" s="167"/>
      <c r="AF42" s="168"/>
      <c r="AG42" s="169"/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7"/>
      <c r="AU42" s="167"/>
      <c r="AV42" s="167"/>
    </row>
    <row r="43" spans="1:48" ht="15.95" customHeight="1" x14ac:dyDescent="0.2">
      <c r="A43" s="7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5"/>
      <c r="N43" s="139"/>
      <c r="O43" s="6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5"/>
      <c r="AB43" s="139"/>
      <c r="AC43" s="139"/>
      <c r="AD43" s="167"/>
      <c r="AE43" s="167"/>
      <c r="AF43" s="168"/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7"/>
      <c r="AU43" s="167"/>
      <c r="AV43" s="167"/>
    </row>
    <row r="44" spans="1:48" ht="15.95" customHeight="1" x14ac:dyDescent="0.2">
      <c r="A44" s="7"/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5"/>
      <c r="N44" s="139"/>
      <c r="O44" s="6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5"/>
      <c r="AB44" s="139"/>
      <c r="AC44" s="139"/>
      <c r="AD44" s="171"/>
      <c r="AE44" s="171"/>
      <c r="AF44" s="171"/>
      <c r="AG44" s="171"/>
      <c r="AH44" s="171"/>
      <c r="AI44" s="171"/>
      <c r="AJ44" s="171"/>
      <c r="AK44" s="171"/>
      <c r="AL44" s="171"/>
      <c r="AM44" s="171"/>
      <c r="AN44" s="171"/>
      <c r="AO44" s="171"/>
      <c r="AP44" s="171"/>
      <c r="AQ44" s="171"/>
      <c r="AR44" s="171"/>
      <c r="AS44" s="171"/>
      <c r="AT44" s="204"/>
      <c r="AU44" s="204"/>
      <c r="AV44" s="204"/>
    </row>
    <row r="45" spans="1:48" ht="12.75" customHeight="1" x14ac:dyDescent="0.2">
      <c r="A45" s="31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31"/>
      <c r="O45" s="31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31"/>
      <c r="AC45" s="31"/>
      <c r="AD45" s="31"/>
      <c r="AE45" s="31"/>
      <c r="AF45" s="31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31"/>
      <c r="AS45" s="31"/>
      <c r="AT45" s="31"/>
      <c r="AU45" s="31"/>
      <c r="AV45" s="31"/>
    </row>
    <row r="46" spans="1:48" ht="12.75" customHeight="1" x14ac:dyDescent="0.2">
      <c r="A46" s="31"/>
      <c r="B46" s="52" t="s">
        <v>14</v>
      </c>
      <c r="N46" s="20"/>
      <c r="O46" s="20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31"/>
      <c r="AC46" s="31"/>
      <c r="AD46" s="31"/>
      <c r="AE46" s="31"/>
      <c r="AF46" s="31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31"/>
      <c r="AS46" s="31"/>
      <c r="AT46" s="31"/>
      <c r="AU46" s="31"/>
      <c r="AV46" s="31"/>
    </row>
    <row r="47" spans="1:48" ht="12.75" customHeight="1" x14ac:dyDescent="0.2">
      <c r="A47" s="31"/>
      <c r="B47" s="8"/>
      <c r="C47" s="54"/>
      <c r="D47" s="55" t="s">
        <v>13</v>
      </c>
      <c r="E47" s="56" t="s">
        <v>27</v>
      </c>
      <c r="F47" s="57"/>
      <c r="G47" s="56"/>
      <c r="H47" s="57"/>
      <c r="I47" s="57"/>
      <c r="J47" s="57"/>
      <c r="K47" s="57"/>
      <c r="L47" s="57"/>
      <c r="M47" s="57"/>
      <c r="N47" s="58"/>
      <c r="O47" s="163">
        <f>SUMIFS($N$10:$N$32,$AD$10:$AD$32,"&gt;=0",$AD$10:$AD$32,"&lt;=0,05")</f>
        <v>0</v>
      </c>
      <c r="P47" s="164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31"/>
      <c r="AC47" s="31"/>
      <c r="AD47" s="31"/>
      <c r="AE47" s="31"/>
      <c r="AF47" s="31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31"/>
      <c r="AS47" s="31"/>
      <c r="AT47" s="31"/>
      <c r="AU47" s="31"/>
      <c r="AV47" s="31"/>
    </row>
    <row r="48" spans="1:48" ht="12.75" customHeight="1" x14ac:dyDescent="0.2">
      <c r="A48" s="31"/>
      <c r="B48" s="54"/>
      <c r="C48" s="54"/>
      <c r="D48" s="55" t="s">
        <v>13</v>
      </c>
      <c r="E48" s="56" t="s">
        <v>15</v>
      </c>
      <c r="F48" s="57"/>
      <c r="G48" s="56"/>
      <c r="H48" s="57"/>
      <c r="I48" s="57"/>
      <c r="J48" s="57"/>
      <c r="K48" s="57"/>
      <c r="L48" s="57"/>
      <c r="M48" s="57"/>
      <c r="N48" s="58"/>
      <c r="O48" s="163">
        <f>SUMIFS($N$10:$N$32,$AD$10:$AD$32,"&gt;=0,050001",$AD$10:$AD$32,"&lt;=0,2")</f>
        <v>0</v>
      </c>
      <c r="P48" s="164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31"/>
      <c r="AC48" s="31"/>
      <c r="AD48" s="31"/>
      <c r="AE48" s="31"/>
      <c r="AF48" s="31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31"/>
      <c r="AS48" s="31"/>
      <c r="AT48" s="31"/>
      <c r="AU48" s="31"/>
      <c r="AV48" s="31"/>
    </row>
    <row r="49" spans="2:16" x14ac:dyDescent="0.2">
      <c r="B49" s="54"/>
      <c r="C49" s="54"/>
      <c r="D49" s="55" t="s">
        <v>13</v>
      </c>
      <c r="E49" s="56" t="s">
        <v>16</v>
      </c>
      <c r="F49" s="57"/>
      <c r="G49" s="56"/>
      <c r="H49" s="57"/>
      <c r="I49" s="57"/>
      <c r="J49" s="57"/>
      <c r="K49" s="57"/>
      <c r="L49" s="57"/>
      <c r="M49" s="57"/>
      <c r="N49" s="58"/>
      <c r="O49" s="163">
        <f>SUMIFS($N$10:$N$32,$AD$10:$AD$32,"&gt;=0,20001",$AD$10:$AD$32,"&lt;=0,4")</f>
        <v>0</v>
      </c>
      <c r="P49" s="164"/>
    </row>
    <row r="50" spans="2:16" x14ac:dyDescent="0.2">
      <c r="B50" s="54"/>
      <c r="C50" s="54"/>
      <c r="D50" s="55" t="s">
        <v>13</v>
      </c>
      <c r="E50" s="56" t="s">
        <v>17</v>
      </c>
      <c r="F50" s="57"/>
      <c r="G50" s="56"/>
      <c r="H50" s="57"/>
      <c r="I50" s="57"/>
      <c r="J50" s="57"/>
      <c r="K50" s="57"/>
      <c r="L50" s="57"/>
      <c r="M50" s="57"/>
      <c r="N50" s="58"/>
      <c r="O50" s="163">
        <f>SUMIFS($N$10:$N$32,$AD$10:$AD$32,"&gt;=0,400001",$AD$10:$AD$32,"&lt;=0,600")</f>
        <v>0</v>
      </c>
      <c r="P50" s="164"/>
    </row>
    <row r="51" spans="2:16" x14ac:dyDescent="0.2">
      <c r="B51" s="54"/>
      <c r="C51" s="54"/>
      <c r="D51" s="55" t="s">
        <v>13</v>
      </c>
      <c r="E51" s="56" t="s">
        <v>18</v>
      </c>
      <c r="F51" s="57"/>
      <c r="G51" s="56"/>
      <c r="H51" s="57"/>
      <c r="I51" s="57"/>
      <c r="J51" s="57"/>
      <c r="K51" s="57"/>
      <c r="L51" s="57"/>
      <c r="M51" s="57"/>
      <c r="N51" s="58"/>
      <c r="O51" s="163">
        <f>SUMIFS($N$10:$N$32,$AD$10:$AD$32,"&gt;=0,600001",$AD$10:$AD$32,"&lt;=0,800")</f>
        <v>0</v>
      </c>
      <c r="P51" s="164"/>
    </row>
    <row r="52" spans="2:16" x14ac:dyDescent="0.2">
      <c r="B52" s="54"/>
      <c r="C52" s="54"/>
      <c r="D52" s="55" t="s">
        <v>13</v>
      </c>
      <c r="E52" s="56" t="s">
        <v>19</v>
      </c>
      <c r="F52" s="57"/>
      <c r="G52" s="56"/>
      <c r="H52" s="57"/>
      <c r="I52" s="57"/>
      <c r="J52" s="57"/>
      <c r="K52" s="57"/>
      <c r="L52" s="57"/>
      <c r="M52" s="57"/>
      <c r="N52" s="58"/>
      <c r="O52" s="163">
        <f>SUMIFS($N$10:$N$32,$AD$10:$AD$32,"&gt;=0,800001",$AD$10:$AD$32,"&lt;=1")</f>
        <v>0</v>
      </c>
      <c r="P52" s="164"/>
    </row>
    <row r="53" spans="2:16" x14ac:dyDescent="0.2">
      <c r="B53" s="54"/>
      <c r="C53" s="54"/>
      <c r="D53" s="55" t="s">
        <v>13</v>
      </c>
      <c r="E53" s="56" t="s">
        <v>20</v>
      </c>
      <c r="F53" s="57"/>
      <c r="G53" s="56"/>
      <c r="H53" s="57"/>
      <c r="I53" s="57"/>
      <c r="J53" s="57"/>
      <c r="K53" s="57"/>
      <c r="L53" s="57"/>
      <c r="M53" s="57"/>
      <c r="N53" s="58"/>
      <c r="O53" s="163">
        <f>SUMIFS($N$10:$N$32,$AD$10:$AD$32,"&gt;=1,001",$AD$10:$AD$32,"&lt;=1,2")</f>
        <v>0</v>
      </c>
      <c r="P53" s="164"/>
    </row>
    <row r="54" spans="2:16" x14ac:dyDescent="0.2">
      <c r="B54" s="54"/>
      <c r="C54" s="54"/>
      <c r="D54" s="55" t="s">
        <v>13</v>
      </c>
      <c r="E54" s="56" t="s">
        <v>21</v>
      </c>
      <c r="F54" s="57"/>
      <c r="G54" s="56"/>
      <c r="H54" s="57"/>
      <c r="I54" s="57"/>
      <c r="J54" s="57"/>
      <c r="K54" s="57"/>
      <c r="L54" s="57"/>
      <c r="M54" s="57"/>
      <c r="N54" s="58"/>
      <c r="O54" s="163">
        <f>SUMIFS($N$10:$N$32,$AD$10:$AD$32,"&gt;=1,200001",$AD$10:$AD$32,"&lt;=1,4")</f>
        <v>0</v>
      </c>
      <c r="P54" s="164"/>
    </row>
    <row r="55" spans="2:16" x14ac:dyDescent="0.2">
      <c r="B55" s="54"/>
      <c r="C55" s="54"/>
      <c r="D55" s="55" t="s">
        <v>13</v>
      </c>
      <c r="E55" s="56" t="s">
        <v>22</v>
      </c>
      <c r="F55" s="57"/>
      <c r="G55" s="56"/>
      <c r="H55" s="57"/>
      <c r="I55" s="57"/>
      <c r="J55" s="57"/>
      <c r="K55" s="57"/>
      <c r="L55" s="57"/>
      <c r="M55" s="57"/>
      <c r="N55" s="58"/>
      <c r="O55" s="163">
        <f>SUMIFS($N$10:$N$32,$AD$10:$AD$32,"&gt;=1,400001",$AD$10:$AD$32,"&lt;=1,6")</f>
        <v>0</v>
      </c>
      <c r="P55" s="164"/>
    </row>
    <row r="56" spans="2:16" x14ac:dyDescent="0.2">
      <c r="B56" s="54"/>
      <c r="C56" s="54"/>
      <c r="D56" s="55" t="s">
        <v>13</v>
      </c>
      <c r="E56" s="56" t="s">
        <v>23</v>
      </c>
      <c r="F56" s="57"/>
      <c r="G56" s="56"/>
      <c r="H56" s="57"/>
      <c r="I56" s="57"/>
      <c r="J56" s="57"/>
      <c r="K56" s="57"/>
      <c r="L56" s="57"/>
      <c r="M56" s="57"/>
      <c r="N56" s="58"/>
      <c r="O56" s="163">
        <f>SUMIFS($N$10:$N$32,$AD$10:$AD$32,"&gt;=1,600001",$AD$10:$AD$32,"&lt;=1,8")</f>
        <v>0</v>
      </c>
      <c r="P56" s="164"/>
    </row>
    <row r="57" spans="2:16" x14ac:dyDescent="0.2">
      <c r="B57" s="54"/>
      <c r="C57" s="54"/>
      <c r="D57" s="55" t="s">
        <v>13</v>
      </c>
      <c r="E57" s="56" t="s">
        <v>24</v>
      </c>
      <c r="F57" s="57"/>
      <c r="G57" s="56"/>
      <c r="H57" s="57"/>
      <c r="I57" s="57"/>
      <c r="J57" s="57"/>
      <c r="K57" s="57"/>
      <c r="L57" s="57"/>
      <c r="M57" s="57"/>
      <c r="N57" s="58"/>
      <c r="O57" s="163">
        <f>SUMIFS($N$10:$N$32,$AD$10:$AD$32,"&gt;=1,800001",$AD$10:$AD$32,"&lt;=2")</f>
        <v>0</v>
      </c>
      <c r="P57" s="164"/>
    </row>
    <row r="58" spans="2:16" x14ac:dyDescent="0.2">
      <c r="B58" s="54"/>
      <c r="C58" s="54"/>
      <c r="D58" s="55" t="s">
        <v>13</v>
      </c>
      <c r="E58" s="56" t="s">
        <v>25</v>
      </c>
      <c r="F58" s="57"/>
      <c r="G58" s="56"/>
      <c r="H58" s="57"/>
      <c r="I58" s="57"/>
      <c r="J58" s="57"/>
      <c r="K58" s="57"/>
      <c r="L58" s="57"/>
      <c r="M58" s="57"/>
      <c r="N58" s="58"/>
      <c r="O58" s="163">
        <f>SUMIFS($N$10:$N$32,$AD$10:$AD$32,"&gt;=2,001",$AD$10:$AD$32,"&lt;=3")</f>
        <v>0</v>
      </c>
      <c r="P58" s="164"/>
    </row>
    <row r="59" spans="2:16" x14ac:dyDescent="0.2">
      <c r="B59" s="54"/>
      <c r="C59" s="54"/>
      <c r="D59" s="55" t="s">
        <v>13</v>
      </c>
      <c r="E59" s="56" t="s">
        <v>26</v>
      </c>
      <c r="F59" s="57"/>
      <c r="G59" s="56"/>
      <c r="H59" s="57"/>
      <c r="I59" s="57"/>
      <c r="J59" s="57"/>
      <c r="K59" s="57"/>
      <c r="L59" s="57"/>
      <c r="M59" s="57"/>
      <c r="N59" s="58"/>
      <c r="O59" s="163">
        <f>SUMIFS($N$10:$N$32,$AD$10:$AD$32,"&gt;=3,001",$AD$10:$AD$32,"&lt;=100")</f>
        <v>24147.14</v>
      </c>
      <c r="P59" s="164"/>
    </row>
    <row r="60" spans="2:16" x14ac:dyDescent="0.2">
      <c r="B60" s="54"/>
      <c r="C60" s="54"/>
      <c r="D60" s="55" t="s">
        <v>13</v>
      </c>
      <c r="E60" s="56" t="s">
        <v>36</v>
      </c>
      <c r="F60" s="57"/>
      <c r="G60" s="56"/>
      <c r="H60" s="57"/>
      <c r="I60" s="57"/>
      <c r="J60" s="57"/>
      <c r="K60" s="57"/>
      <c r="L60" s="57"/>
      <c r="M60" s="57"/>
      <c r="N60" s="58"/>
      <c r="O60" s="165">
        <f>(SUMIF($AE$11:$AE$32,"'*'",$AF$11:$AF$32)-SUMIF($AE$11:$AE$32,"'*'",$N$11:$N$32)*5)*1.63</f>
        <v>0</v>
      </c>
      <c r="P60" s="166"/>
    </row>
    <row r="61" spans="2:16" x14ac:dyDescent="0.2">
      <c r="B61" s="54"/>
      <c r="C61" s="54"/>
      <c r="D61" s="55" t="s">
        <v>13</v>
      </c>
      <c r="E61" s="56" t="s">
        <v>28</v>
      </c>
      <c r="F61" s="57"/>
      <c r="G61" s="56"/>
      <c r="H61" s="57"/>
      <c r="I61" s="57"/>
      <c r="J61" s="57"/>
      <c r="K61" s="57"/>
      <c r="L61" s="57"/>
      <c r="M61" s="57"/>
      <c r="N61" s="58"/>
      <c r="O61" s="163">
        <f>AC33</f>
        <v>0</v>
      </c>
      <c r="P61" s="164"/>
    </row>
    <row r="62" spans="2:16" x14ac:dyDescent="0.2">
      <c r="B62" s="54"/>
      <c r="C62" s="54"/>
      <c r="D62" s="55" t="s">
        <v>13</v>
      </c>
      <c r="E62" s="56" t="s">
        <v>29</v>
      </c>
      <c r="F62" s="57"/>
      <c r="G62" s="56"/>
      <c r="H62" s="57"/>
      <c r="I62" s="57"/>
      <c r="J62" s="57"/>
      <c r="K62" s="57"/>
      <c r="L62" s="57"/>
      <c r="M62" s="57"/>
      <c r="N62" s="58"/>
      <c r="O62" s="163">
        <f>AB33</f>
        <v>24147.14</v>
      </c>
      <c r="P62" s="164"/>
    </row>
    <row r="63" spans="2:16" x14ac:dyDescent="0.2">
      <c r="B63" s="54"/>
      <c r="C63" s="54"/>
      <c r="D63" s="55" t="s">
        <v>13</v>
      </c>
      <c r="E63" s="56" t="s">
        <v>37</v>
      </c>
      <c r="F63" s="57"/>
      <c r="G63" s="56"/>
      <c r="H63" s="57"/>
      <c r="I63" s="57"/>
      <c r="J63" s="57"/>
      <c r="K63" s="57"/>
      <c r="L63" s="57"/>
      <c r="M63" s="57"/>
      <c r="N63" s="58"/>
      <c r="O63" s="163">
        <f>AR33/1.25</f>
        <v>6003.98</v>
      </c>
      <c r="P63" s="164"/>
    </row>
    <row r="118" spans="1:48" x14ac:dyDescent="0.2">
      <c r="A118" s="31"/>
      <c r="B118" s="143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</row>
    <row r="119" spans="1:48" x14ac:dyDescent="0.2">
      <c r="A119" s="31"/>
      <c r="B119" s="143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</row>
    <row r="120" spans="1:48" x14ac:dyDescent="0.2">
      <c r="A120" s="31"/>
      <c r="B120" s="143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</row>
    <row r="121" spans="1:48" x14ac:dyDescent="0.2">
      <c r="A121" s="31"/>
      <c r="B121" s="143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</row>
    <row r="122" spans="1:48" x14ac:dyDescent="0.2">
      <c r="A122" s="31"/>
      <c r="B122" s="143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</row>
    <row r="123" spans="1:48" x14ac:dyDescent="0.2">
      <c r="A123" s="31"/>
      <c r="B123" s="143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</row>
    <row r="124" spans="1:48" x14ac:dyDescent="0.2">
      <c r="A124" s="31"/>
      <c r="B124" s="143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</row>
    <row r="125" spans="1:48" x14ac:dyDescent="0.2">
      <c r="A125" s="31"/>
      <c r="B125" s="143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</row>
    <row r="126" spans="1:48" x14ac:dyDescent="0.2">
      <c r="A126" s="31"/>
      <c r="B126" s="143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</row>
    <row r="127" spans="1:48" x14ac:dyDescent="0.2">
      <c r="A127" s="31"/>
      <c r="B127" s="143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</row>
    <row r="128" spans="1:48" x14ac:dyDescent="0.2">
      <c r="A128" s="31"/>
      <c r="B128" s="143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</row>
    <row r="129" spans="1:48" x14ac:dyDescent="0.2">
      <c r="A129" s="31"/>
      <c r="B129" s="143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</row>
    <row r="130" spans="1:48" x14ac:dyDescent="0.2">
      <c r="A130" s="31"/>
      <c r="B130" s="143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</row>
    <row r="131" spans="1:48" x14ac:dyDescent="0.2">
      <c r="A131" s="31"/>
      <c r="B131" s="143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</row>
    <row r="132" spans="1:48" x14ac:dyDescent="0.2">
      <c r="A132" s="31"/>
      <c r="B132" s="143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</row>
    <row r="133" spans="1:48" x14ac:dyDescent="0.2">
      <c r="A133" s="31"/>
      <c r="B133" s="143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</row>
    <row r="134" spans="1:48" x14ac:dyDescent="0.2">
      <c r="A134" s="31"/>
      <c r="B134" s="143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</row>
    <row r="135" spans="1:48" x14ac:dyDescent="0.2">
      <c r="A135" s="31"/>
      <c r="B135" s="143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</row>
    <row r="136" spans="1:48" x14ac:dyDescent="0.2">
      <c r="A136" s="31"/>
      <c r="B136" s="143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</row>
    <row r="137" spans="1:48" x14ac:dyDescent="0.2">
      <c r="A137" s="31"/>
      <c r="B137" s="143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</row>
    <row r="138" spans="1:48" x14ac:dyDescent="0.2">
      <c r="A138" s="31"/>
      <c r="B138" s="143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</row>
    <row r="139" spans="1:48" x14ac:dyDescent="0.2">
      <c r="A139" s="31"/>
      <c r="B139" s="143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</row>
    <row r="140" spans="1:48" x14ac:dyDescent="0.2">
      <c r="A140" s="31"/>
      <c r="B140" s="143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</row>
    <row r="141" spans="1:48" x14ac:dyDescent="0.2">
      <c r="A141" s="31"/>
      <c r="B141" s="143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</row>
    <row r="142" spans="1:48" x14ac:dyDescent="0.2">
      <c r="A142" s="31"/>
      <c r="B142" s="143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</row>
    <row r="143" spans="1:48" x14ac:dyDescent="0.2">
      <c r="A143" s="31"/>
      <c r="B143" s="143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</row>
    <row r="144" spans="1:48" x14ac:dyDescent="0.2">
      <c r="A144" s="31"/>
      <c r="B144" s="143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</row>
    <row r="145" spans="1:48" x14ac:dyDescent="0.2">
      <c r="A145" s="31"/>
      <c r="B145" s="143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</row>
    <row r="146" spans="1:48" x14ac:dyDescent="0.2">
      <c r="A146" s="31"/>
      <c r="B146" s="143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</row>
    <row r="147" spans="1:48" x14ac:dyDescent="0.2">
      <c r="A147" s="31"/>
      <c r="B147" s="143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</row>
    <row r="148" spans="1:48" x14ac:dyDescent="0.2">
      <c r="A148" s="31"/>
      <c r="B148" s="143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</row>
    <row r="149" spans="1:48" x14ac:dyDescent="0.2">
      <c r="A149" s="31"/>
      <c r="B149" s="143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</row>
    <row r="150" spans="1:48" x14ac:dyDescent="0.2">
      <c r="A150" s="31"/>
      <c r="B150" s="143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</row>
    <row r="151" spans="1:48" x14ac:dyDescent="0.2">
      <c r="A151" s="31"/>
      <c r="B151" s="143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</row>
    <row r="152" spans="1:48" x14ac:dyDescent="0.2">
      <c r="A152" s="31"/>
      <c r="B152" s="143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</row>
    <row r="153" spans="1:48" x14ac:dyDescent="0.2">
      <c r="A153" s="31"/>
      <c r="B153" s="143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</row>
    <row r="154" spans="1:48" x14ac:dyDescent="0.2">
      <c r="A154" s="31"/>
      <c r="B154" s="143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</row>
    <row r="155" spans="1:48" x14ac:dyDescent="0.2">
      <c r="A155" s="31"/>
      <c r="B155" s="143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</row>
    <row r="156" spans="1:48" x14ac:dyDescent="0.2">
      <c r="A156" s="31"/>
      <c r="B156" s="143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</row>
    <row r="157" spans="1:48" x14ac:dyDescent="0.2">
      <c r="A157" s="31"/>
      <c r="B157" s="143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</row>
    <row r="158" spans="1:48" x14ac:dyDescent="0.2">
      <c r="A158" s="31"/>
      <c r="B158" s="143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</row>
  </sheetData>
  <autoFilter ref="A10:AV32" xr:uid="{00000000-0009-0000-0000-000001000000}"/>
  <mergeCells count="50">
    <mergeCell ref="AT40:AV40"/>
    <mergeCell ref="P4:AF5"/>
    <mergeCell ref="AB6:AC7"/>
    <mergeCell ref="AG4:AT5"/>
    <mergeCell ref="AT6:AT9"/>
    <mergeCell ref="AE6:AF9"/>
    <mergeCell ref="AS6:AS9"/>
    <mergeCell ref="AR6:AR9"/>
    <mergeCell ref="AB8:AB9"/>
    <mergeCell ref="AD6:AD9"/>
    <mergeCell ref="AG6:AQ6"/>
    <mergeCell ref="AG7:AQ9"/>
    <mergeCell ref="O49:P49"/>
    <mergeCell ref="O50:P50"/>
    <mergeCell ref="O51:P51"/>
    <mergeCell ref="B2:O3"/>
    <mergeCell ref="C4:M6"/>
    <mergeCell ref="C7:M9"/>
    <mergeCell ref="B4:B9"/>
    <mergeCell ref="N4:O6"/>
    <mergeCell ref="N7:N9"/>
    <mergeCell ref="O7:O9"/>
    <mergeCell ref="O48:P48"/>
    <mergeCell ref="P2:AU3"/>
    <mergeCell ref="AU4:AU9"/>
    <mergeCell ref="AT41:AV43"/>
    <mergeCell ref="AD40:AS40"/>
    <mergeCell ref="AT44:AV44"/>
    <mergeCell ref="O47:P47"/>
    <mergeCell ref="P6:P9"/>
    <mergeCell ref="Q6:AA6"/>
    <mergeCell ref="Q7:AA9"/>
    <mergeCell ref="AC8:AC9"/>
    <mergeCell ref="AD41:AE43"/>
    <mergeCell ref="AF41:AF43"/>
    <mergeCell ref="AG41:AS43"/>
    <mergeCell ref="AE33:AF33"/>
    <mergeCell ref="AD44:AS44"/>
    <mergeCell ref="O52:P52"/>
    <mergeCell ref="O53:P53"/>
    <mergeCell ref="O54:P54"/>
    <mergeCell ref="O55:P55"/>
    <mergeCell ref="O63:P63"/>
    <mergeCell ref="O56:P56"/>
    <mergeCell ref="O62:P62"/>
    <mergeCell ref="O57:P57"/>
    <mergeCell ref="O58:P58"/>
    <mergeCell ref="O59:P59"/>
    <mergeCell ref="O60:P60"/>
    <mergeCell ref="O61:P61"/>
  </mergeCells>
  <phoneticPr fontId="0" type="noConversion"/>
  <pageMargins left="0.78740157480314965" right="0.51181102362204722" top="0.51181102362204722" bottom="0.51181102362204722" header="0" footer="0.39370078740157483"/>
  <pageSetup paperSize="8" scale="60" fitToHeight="0" orientation="landscape" r:id="rId1"/>
  <headerFooter>
    <oddFooter>&amp;L&amp;5&amp;Z&amp;F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77"/>
  <sheetViews>
    <sheetView tabSelected="1" zoomScaleNormal="100" zoomScaleSheetLayoutView="100" workbookViewId="0">
      <pane ySplit="12" topLeftCell="A34" activePane="bottomLeft" state="frozen"/>
      <selection pane="bottomLeft" activeCell="J20" sqref="J20"/>
    </sheetView>
  </sheetViews>
  <sheetFormatPr defaultRowHeight="15" customHeight="1" x14ac:dyDescent="0.2"/>
  <cols>
    <col min="1" max="1" width="16.5703125" style="69" customWidth="1"/>
    <col min="2" max="2" width="6.42578125" style="111" customWidth="1"/>
    <col min="3" max="3" width="2.140625" style="69" bestFit="1" customWidth="1"/>
    <col min="4" max="4" width="5.5703125" style="113" bestFit="1" customWidth="1"/>
    <col min="5" max="5" width="6.42578125" style="111" customWidth="1"/>
    <col min="6" max="6" width="2.140625" style="69" bestFit="1" customWidth="1"/>
    <col min="7" max="7" width="5.5703125" style="113" bestFit="1" customWidth="1"/>
    <col min="8" max="8" width="13" style="111" customWidth="1"/>
    <col min="9" max="11" width="13" style="113" customWidth="1"/>
    <col min="12" max="12" width="23.7109375" style="116" bestFit="1" customWidth="1"/>
    <col min="13" max="13" width="11.85546875" style="68" bestFit="1" customWidth="1"/>
    <col min="14" max="14" width="28.85546875" style="69" bestFit="1" customWidth="1"/>
    <col min="15" max="15" width="11.28515625" style="69" bestFit="1" customWidth="1"/>
    <col min="16" max="16" width="12.28515625" style="69" bestFit="1" customWidth="1"/>
    <col min="17" max="18" width="9.140625" style="69"/>
    <col min="19" max="19" width="28.85546875" style="69" bestFit="1" customWidth="1"/>
    <col min="20" max="16384" width="9.140625" style="69"/>
  </cols>
  <sheetData>
    <row r="1" spans="1:19" ht="15" customHeight="1" x14ac:dyDescent="0.2">
      <c r="A1" s="62"/>
      <c r="B1" s="63"/>
      <c r="C1" s="64"/>
      <c r="D1" s="65"/>
      <c r="E1" s="64"/>
      <c r="F1" s="66"/>
      <c r="G1" s="65"/>
      <c r="H1" s="64"/>
      <c r="I1" s="65"/>
      <c r="J1" s="65"/>
      <c r="K1" s="65"/>
      <c r="L1" s="67"/>
    </row>
    <row r="2" spans="1:19" ht="9" customHeight="1" x14ac:dyDescent="0.2">
      <c r="A2" s="70"/>
      <c r="B2" s="71"/>
      <c r="C2" s="72"/>
      <c r="D2" s="73"/>
      <c r="E2" s="72"/>
      <c r="F2" s="71"/>
      <c r="G2" s="73"/>
      <c r="H2" s="72"/>
      <c r="I2" s="73"/>
      <c r="J2" s="73"/>
      <c r="K2" s="73"/>
      <c r="L2" s="74"/>
    </row>
    <row r="3" spans="1:19" ht="15" customHeight="1" x14ac:dyDescent="0.2">
      <c r="A3" s="75"/>
      <c r="B3" s="72"/>
      <c r="C3" s="76"/>
      <c r="D3" s="73"/>
      <c r="E3" s="72"/>
      <c r="F3" s="71"/>
      <c r="G3" s="73"/>
      <c r="H3" s="72"/>
      <c r="I3" s="73"/>
      <c r="J3" s="73"/>
      <c r="K3" s="73"/>
      <c r="L3" s="74"/>
    </row>
    <row r="4" spans="1:19" ht="15" customHeight="1" x14ac:dyDescent="0.2">
      <c r="A4" s="75"/>
      <c r="B4" s="72"/>
      <c r="C4" s="76"/>
      <c r="D4" s="73"/>
      <c r="E4" s="72"/>
      <c r="F4" s="71"/>
      <c r="G4" s="73"/>
      <c r="H4" s="72"/>
      <c r="I4" s="73"/>
      <c r="J4" s="73"/>
      <c r="K4" s="73"/>
      <c r="L4" s="74"/>
    </row>
    <row r="5" spans="1:19" ht="15" customHeight="1" x14ac:dyDescent="0.2">
      <c r="A5" s="75"/>
      <c r="B5" s="72"/>
      <c r="C5" s="76"/>
      <c r="D5" s="73"/>
      <c r="E5" s="72"/>
      <c r="F5" s="71"/>
      <c r="G5" s="73"/>
      <c r="H5" s="72"/>
      <c r="I5" s="73"/>
      <c r="J5" s="73"/>
      <c r="K5" s="77"/>
      <c r="L5" s="78"/>
    </row>
    <row r="6" spans="1:19" ht="15" customHeight="1" x14ac:dyDescent="0.2">
      <c r="A6" s="75"/>
      <c r="B6" s="72"/>
      <c r="C6" s="76"/>
      <c r="D6" s="73"/>
      <c r="E6" s="72"/>
      <c r="F6" s="71"/>
      <c r="G6" s="73"/>
      <c r="H6" s="72"/>
      <c r="I6" s="73"/>
      <c r="J6" s="73"/>
      <c r="K6" s="77"/>
      <c r="L6" s="78"/>
    </row>
    <row r="7" spans="1:19" ht="15" customHeight="1" x14ac:dyDescent="0.2">
      <c r="A7" s="75"/>
      <c r="B7" s="72"/>
      <c r="C7" s="76"/>
      <c r="D7" s="73"/>
      <c r="E7" s="72"/>
      <c r="F7" s="71"/>
      <c r="G7" s="73"/>
      <c r="H7" s="72"/>
      <c r="I7" s="73"/>
      <c r="J7" s="73"/>
      <c r="K7" s="77"/>
      <c r="L7" s="79"/>
    </row>
    <row r="8" spans="1:19" ht="9" customHeight="1" thickBot="1" x14ac:dyDescent="0.25">
      <c r="A8" s="80"/>
      <c r="B8" s="81"/>
      <c r="C8" s="82"/>
      <c r="D8" s="83"/>
      <c r="E8" s="84"/>
      <c r="F8" s="82"/>
      <c r="G8" s="83"/>
      <c r="H8" s="84"/>
      <c r="I8" s="83"/>
      <c r="J8" s="83"/>
      <c r="K8" s="85"/>
      <c r="L8" s="86"/>
    </row>
    <row r="9" spans="1:19" ht="15" customHeight="1" x14ac:dyDescent="0.2">
      <c r="A9" s="216" t="s">
        <v>52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  <c r="L9" s="218"/>
    </row>
    <row r="10" spans="1:19" ht="15" customHeight="1" x14ac:dyDescent="0.2">
      <c r="A10" s="228" t="s">
        <v>30</v>
      </c>
      <c r="B10" s="230" t="s">
        <v>31</v>
      </c>
      <c r="C10" s="230"/>
      <c r="D10" s="230"/>
      <c r="E10" s="230" t="s">
        <v>32</v>
      </c>
      <c r="F10" s="230"/>
      <c r="G10" s="230"/>
      <c r="H10" s="222" t="s">
        <v>53</v>
      </c>
      <c r="I10" s="223"/>
      <c r="J10" s="223"/>
      <c r="K10" s="224"/>
      <c r="L10" s="232" t="s">
        <v>33</v>
      </c>
      <c r="M10" s="219"/>
    </row>
    <row r="11" spans="1:19" ht="15" customHeight="1" x14ac:dyDescent="0.2">
      <c r="A11" s="228"/>
      <c r="B11" s="230"/>
      <c r="C11" s="230"/>
      <c r="D11" s="230"/>
      <c r="E11" s="230"/>
      <c r="F11" s="230"/>
      <c r="G11" s="230"/>
      <c r="H11" s="225"/>
      <c r="I11" s="226"/>
      <c r="J11" s="226"/>
      <c r="K11" s="227"/>
      <c r="L11" s="232"/>
      <c r="M11" s="219"/>
    </row>
    <row r="12" spans="1:19" ht="26.25" thickBot="1" x14ac:dyDescent="0.25">
      <c r="A12" s="229"/>
      <c r="B12" s="231"/>
      <c r="C12" s="231"/>
      <c r="D12" s="231"/>
      <c r="E12" s="231"/>
      <c r="F12" s="231"/>
      <c r="G12" s="231"/>
      <c r="H12" s="147" t="s">
        <v>56</v>
      </c>
      <c r="I12" s="148" t="s">
        <v>55</v>
      </c>
      <c r="J12" s="127" t="s">
        <v>57</v>
      </c>
      <c r="K12" s="150" t="s">
        <v>54</v>
      </c>
      <c r="L12" s="233"/>
      <c r="M12" s="219"/>
      <c r="R12" s="145"/>
      <c r="S12" s="145"/>
    </row>
    <row r="13" spans="1:19" ht="5.0999999999999996" customHeight="1" x14ac:dyDescent="0.2">
      <c r="A13" s="87"/>
      <c r="B13" s="88"/>
      <c r="C13" s="89"/>
      <c r="D13" s="90"/>
      <c r="E13" s="88"/>
      <c r="F13" s="89"/>
      <c r="G13" s="90"/>
      <c r="H13" s="88"/>
      <c r="I13" s="90"/>
      <c r="J13" s="90"/>
      <c r="K13" s="91"/>
      <c r="L13" s="92"/>
      <c r="M13" s="93"/>
    </row>
    <row r="14" spans="1:19" ht="15" customHeight="1" x14ac:dyDescent="0.2">
      <c r="A14" s="94" t="s">
        <v>38</v>
      </c>
      <c r="B14" s="95">
        <v>0</v>
      </c>
      <c r="C14" s="96" t="s">
        <v>35</v>
      </c>
      <c r="D14" s="97">
        <v>0</v>
      </c>
      <c r="E14" s="95">
        <v>16</v>
      </c>
      <c r="F14" s="96" t="s">
        <v>35</v>
      </c>
      <c r="G14" s="97">
        <v>18.86</v>
      </c>
      <c r="H14" s="98">
        <v>3609.93</v>
      </c>
      <c r="I14" s="98">
        <v>0</v>
      </c>
      <c r="J14" s="98">
        <v>0</v>
      </c>
      <c r="K14" s="98">
        <v>0</v>
      </c>
      <c r="L14" s="151" t="s">
        <v>58</v>
      </c>
      <c r="M14" s="131"/>
      <c r="O14" s="100"/>
      <c r="P14" s="100"/>
      <c r="Q14" s="101"/>
      <c r="S14" s="144"/>
    </row>
    <row r="15" spans="1:19" ht="15" customHeight="1" x14ac:dyDescent="0.2">
      <c r="A15" s="94" t="s">
        <v>43</v>
      </c>
      <c r="B15" s="95">
        <v>0</v>
      </c>
      <c r="C15" s="96" t="s">
        <v>35</v>
      </c>
      <c r="D15" s="97">
        <v>0</v>
      </c>
      <c r="E15" s="95">
        <v>16</v>
      </c>
      <c r="F15" s="96" t="s">
        <v>35</v>
      </c>
      <c r="G15" s="97">
        <v>18.86</v>
      </c>
      <c r="H15" s="98">
        <v>0</v>
      </c>
      <c r="I15" s="98">
        <v>0</v>
      </c>
      <c r="J15" s="98">
        <f>1197.44+320*16*0.2</f>
        <v>2221.44</v>
      </c>
      <c r="K15" s="98">
        <f>I15</f>
        <v>0</v>
      </c>
      <c r="L15" s="151" t="s">
        <v>58</v>
      </c>
      <c r="M15" s="131"/>
      <c r="O15" s="100"/>
      <c r="P15" s="100"/>
      <c r="Q15" s="101"/>
      <c r="S15" s="144"/>
    </row>
    <row r="16" spans="1:19" ht="15" customHeight="1" x14ac:dyDescent="0.2">
      <c r="A16" s="94" t="s">
        <v>39</v>
      </c>
      <c r="B16" s="95">
        <v>0</v>
      </c>
      <c r="C16" s="96" t="s">
        <v>35</v>
      </c>
      <c r="D16" s="97">
        <v>0</v>
      </c>
      <c r="E16" s="95">
        <v>11</v>
      </c>
      <c r="F16" s="96" t="s">
        <v>35</v>
      </c>
      <c r="G16" s="97">
        <v>11.65</v>
      </c>
      <c r="H16" s="98">
        <v>324.61</v>
      </c>
      <c r="I16" s="98">
        <v>0</v>
      </c>
      <c r="J16" s="98">
        <v>0</v>
      </c>
      <c r="K16" s="98">
        <v>0</v>
      </c>
      <c r="L16" s="151" t="s">
        <v>59</v>
      </c>
      <c r="M16" s="131"/>
      <c r="O16" s="100"/>
      <c r="P16" s="100"/>
      <c r="Q16" s="101"/>
      <c r="S16" s="144"/>
    </row>
    <row r="17" spans="1:19" ht="15" customHeight="1" x14ac:dyDescent="0.2">
      <c r="A17" s="94" t="s">
        <v>44</v>
      </c>
      <c r="B17" s="95">
        <v>0</v>
      </c>
      <c r="C17" s="96" t="s">
        <v>35</v>
      </c>
      <c r="D17" s="97">
        <v>0</v>
      </c>
      <c r="E17" s="95">
        <v>11</v>
      </c>
      <c r="F17" s="96" t="s">
        <v>35</v>
      </c>
      <c r="G17" s="97">
        <v>11.65</v>
      </c>
      <c r="H17" s="98">
        <v>0</v>
      </c>
      <c r="I17" s="98">
        <v>0</v>
      </c>
      <c r="J17" s="98">
        <f>636.48+250</f>
        <v>886.48</v>
      </c>
      <c r="K17" s="98">
        <f>I17</f>
        <v>0</v>
      </c>
      <c r="L17" s="151" t="s">
        <v>59</v>
      </c>
      <c r="M17" s="131"/>
      <c r="O17" s="100"/>
      <c r="P17" s="100"/>
      <c r="Q17" s="101"/>
      <c r="S17" s="144"/>
    </row>
    <row r="18" spans="1:19" ht="15" customHeight="1" x14ac:dyDescent="0.2">
      <c r="A18" s="94" t="s">
        <v>40</v>
      </c>
      <c r="B18" s="95">
        <v>0</v>
      </c>
      <c r="C18" s="96" t="s">
        <v>35</v>
      </c>
      <c r="D18" s="97">
        <v>0</v>
      </c>
      <c r="E18" s="95">
        <v>5</v>
      </c>
      <c r="F18" s="96" t="s">
        <v>35</v>
      </c>
      <c r="G18" s="97">
        <v>7.2</v>
      </c>
      <c r="H18" s="98">
        <v>170</v>
      </c>
      <c r="I18" s="98">
        <v>0</v>
      </c>
      <c r="J18" s="98">
        <v>0</v>
      </c>
      <c r="K18" s="98">
        <v>0</v>
      </c>
      <c r="L18" s="151" t="s">
        <v>60</v>
      </c>
      <c r="M18" s="131"/>
      <c r="O18" s="100"/>
      <c r="P18" s="100"/>
      <c r="Q18" s="101"/>
      <c r="S18" s="144"/>
    </row>
    <row r="19" spans="1:19" ht="15" customHeight="1" x14ac:dyDescent="0.2">
      <c r="A19" s="94" t="s">
        <v>45</v>
      </c>
      <c r="B19" s="95">
        <v>0</v>
      </c>
      <c r="C19" s="96" t="s">
        <v>35</v>
      </c>
      <c r="D19" s="97">
        <v>0</v>
      </c>
      <c r="E19" s="95">
        <v>5</v>
      </c>
      <c r="F19" s="96" t="s">
        <v>35</v>
      </c>
      <c r="G19" s="97">
        <v>7.2</v>
      </c>
      <c r="H19" s="98">
        <v>0</v>
      </c>
      <c r="I19" s="98">
        <v>0</v>
      </c>
      <c r="J19" s="98">
        <f>69.8+30</f>
        <v>99.8</v>
      </c>
      <c r="K19" s="98">
        <f>I19</f>
        <v>0</v>
      </c>
      <c r="L19" s="151" t="s">
        <v>60</v>
      </c>
      <c r="M19" s="131"/>
      <c r="O19" s="100"/>
      <c r="P19" s="100"/>
      <c r="Q19" s="101"/>
      <c r="S19" s="144"/>
    </row>
    <row r="20" spans="1:19" ht="15" customHeight="1" x14ac:dyDescent="0.2">
      <c r="A20" s="94" t="s">
        <v>41</v>
      </c>
      <c r="B20" s="95">
        <v>0</v>
      </c>
      <c r="C20" s="96" t="s">
        <v>35</v>
      </c>
      <c r="D20" s="97">
        <v>0</v>
      </c>
      <c r="E20" s="95">
        <v>2</v>
      </c>
      <c r="F20" s="96" t="s">
        <v>35</v>
      </c>
      <c r="G20" s="97">
        <v>10.51</v>
      </c>
      <c r="H20" s="98">
        <v>727.82</v>
      </c>
      <c r="I20" s="98">
        <v>0</v>
      </c>
      <c r="J20" s="98">
        <v>0</v>
      </c>
      <c r="K20" s="98">
        <v>0</v>
      </c>
      <c r="L20" s="151" t="s">
        <v>63</v>
      </c>
      <c r="M20" s="131"/>
      <c r="O20" s="100"/>
      <c r="P20" s="100"/>
      <c r="Q20" s="101"/>
      <c r="S20" s="144"/>
    </row>
    <row r="21" spans="1:19" ht="15" customHeight="1" x14ac:dyDescent="0.2">
      <c r="A21" s="94" t="s">
        <v>42</v>
      </c>
      <c r="B21" s="95">
        <v>0</v>
      </c>
      <c r="C21" s="96" t="s">
        <v>35</v>
      </c>
      <c r="D21" s="97">
        <v>0</v>
      </c>
      <c r="E21" s="95">
        <v>3</v>
      </c>
      <c r="F21" s="96" t="s">
        <v>35</v>
      </c>
      <c r="G21" s="97">
        <v>5.12</v>
      </c>
      <c r="H21" s="98">
        <v>462.32</v>
      </c>
      <c r="I21" s="98">
        <v>0</v>
      </c>
      <c r="J21" s="98">
        <v>0</v>
      </c>
      <c r="K21" s="98">
        <v>0</v>
      </c>
      <c r="L21" s="151" t="s">
        <v>64</v>
      </c>
      <c r="M21" s="131"/>
      <c r="O21" s="100"/>
      <c r="P21" s="100"/>
      <c r="Q21" s="101"/>
      <c r="S21" s="144"/>
    </row>
    <row r="22" spans="1:19" ht="15" customHeight="1" x14ac:dyDescent="0.2">
      <c r="A22" s="94" t="s">
        <v>61</v>
      </c>
      <c r="B22" s="95">
        <v>0</v>
      </c>
      <c r="C22" s="96" t="s">
        <v>35</v>
      </c>
      <c r="D22" s="97">
        <v>0</v>
      </c>
      <c r="E22" s="95">
        <v>4</v>
      </c>
      <c r="F22" s="96" t="s">
        <v>35</v>
      </c>
      <c r="G22" s="97">
        <v>5.32</v>
      </c>
      <c r="H22" s="98">
        <v>230.05</v>
      </c>
      <c r="I22" s="98">
        <v>0</v>
      </c>
      <c r="J22" s="98">
        <v>0</v>
      </c>
      <c r="K22" s="98">
        <v>0</v>
      </c>
      <c r="L22" s="151" t="s">
        <v>67</v>
      </c>
      <c r="M22" s="131"/>
      <c r="O22" s="100"/>
      <c r="P22" s="100"/>
      <c r="Q22" s="101"/>
      <c r="S22" s="144"/>
    </row>
    <row r="23" spans="1:19" ht="15" customHeight="1" x14ac:dyDescent="0.2">
      <c r="A23" s="94" t="s">
        <v>62</v>
      </c>
      <c r="B23" s="95">
        <v>0</v>
      </c>
      <c r="C23" s="96" t="s">
        <v>35</v>
      </c>
      <c r="D23" s="97">
        <v>0</v>
      </c>
      <c r="E23" s="95">
        <v>4</v>
      </c>
      <c r="F23" s="96" t="s">
        <v>35</v>
      </c>
      <c r="G23" s="97">
        <v>5.32</v>
      </c>
      <c r="H23" s="98">
        <v>0</v>
      </c>
      <c r="I23" s="98">
        <v>0</v>
      </c>
      <c r="J23" s="98">
        <f>442.1+85</f>
        <v>527.1</v>
      </c>
      <c r="K23" s="98">
        <f>I23</f>
        <v>0</v>
      </c>
      <c r="L23" s="151" t="s">
        <v>67</v>
      </c>
      <c r="M23" s="131"/>
      <c r="O23" s="100"/>
      <c r="P23" s="100"/>
      <c r="Q23" s="101"/>
      <c r="S23" s="144"/>
    </row>
    <row r="24" spans="1:19" ht="15" customHeight="1" x14ac:dyDescent="0.2">
      <c r="A24" s="94" t="s">
        <v>65</v>
      </c>
      <c r="B24" s="95">
        <v>0</v>
      </c>
      <c r="C24" s="96" t="s">
        <v>35</v>
      </c>
      <c r="D24" s="97">
        <v>0</v>
      </c>
      <c r="E24" s="95">
        <v>4</v>
      </c>
      <c r="F24" s="96" t="s">
        <v>35</v>
      </c>
      <c r="G24" s="97">
        <v>5.32</v>
      </c>
      <c r="H24" s="98">
        <v>265.83</v>
      </c>
      <c r="I24" s="98">
        <v>0</v>
      </c>
      <c r="J24" s="98">
        <v>0</v>
      </c>
      <c r="K24" s="98">
        <v>0</v>
      </c>
      <c r="L24" s="151" t="s">
        <v>70</v>
      </c>
      <c r="M24" s="131"/>
      <c r="O24" s="100"/>
      <c r="P24" s="100"/>
      <c r="Q24" s="101"/>
      <c r="S24" s="144"/>
    </row>
    <row r="25" spans="1:19" ht="15" customHeight="1" x14ac:dyDescent="0.2">
      <c r="A25" s="94" t="s">
        <v>66</v>
      </c>
      <c r="B25" s="95">
        <v>0</v>
      </c>
      <c r="C25" s="96" t="s">
        <v>35</v>
      </c>
      <c r="D25" s="97">
        <v>0</v>
      </c>
      <c r="E25" s="95">
        <v>4</v>
      </c>
      <c r="F25" s="96" t="s">
        <v>35</v>
      </c>
      <c r="G25" s="97">
        <v>5.32</v>
      </c>
      <c r="H25" s="98">
        <v>0</v>
      </c>
      <c r="I25" s="98">
        <v>0</v>
      </c>
      <c r="J25" s="98">
        <f>21.02+5</f>
        <v>26.02</v>
      </c>
      <c r="K25" s="98">
        <f>I25</f>
        <v>0</v>
      </c>
      <c r="L25" s="151" t="s">
        <v>70</v>
      </c>
      <c r="M25" s="131"/>
      <c r="O25" s="100"/>
      <c r="P25" s="100"/>
      <c r="Q25" s="101"/>
      <c r="S25" s="144"/>
    </row>
    <row r="26" spans="1:19" ht="15" customHeight="1" x14ac:dyDescent="0.2">
      <c r="A26" s="94" t="s">
        <v>68</v>
      </c>
      <c r="B26" s="95">
        <v>0</v>
      </c>
      <c r="C26" s="96" t="s">
        <v>35</v>
      </c>
      <c r="D26" s="97">
        <v>0</v>
      </c>
      <c r="E26" s="95">
        <v>7</v>
      </c>
      <c r="F26" s="96" t="s">
        <v>35</v>
      </c>
      <c r="G26" s="97">
        <v>17.14</v>
      </c>
      <c r="H26" s="98">
        <v>463.28</v>
      </c>
      <c r="I26" s="98">
        <v>0</v>
      </c>
      <c r="J26" s="98">
        <v>0</v>
      </c>
      <c r="K26" s="98">
        <v>0</v>
      </c>
      <c r="L26" s="151" t="s">
        <v>73</v>
      </c>
      <c r="M26" s="131"/>
      <c r="O26" s="100"/>
      <c r="P26" s="100"/>
      <c r="Q26" s="101"/>
      <c r="S26" s="144"/>
    </row>
    <row r="27" spans="1:19" ht="15" customHeight="1" x14ac:dyDescent="0.2">
      <c r="A27" s="94" t="s">
        <v>69</v>
      </c>
      <c r="B27" s="95">
        <v>0</v>
      </c>
      <c r="C27" s="96" t="s">
        <v>35</v>
      </c>
      <c r="D27" s="97">
        <v>0</v>
      </c>
      <c r="E27" s="95">
        <v>7</v>
      </c>
      <c r="F27" s="96" t="s">
        <v>35</v>
      </c>
      <c r="G27" s="97">
        <v>17.14</v>
      </c>
      <c r="H27" s="98">
        <v>0</v>
      </c>
      <c r="I27" s="98">
        <v>0</v>
      </c>
      <c r="J27" s="98">
        <f>9.36+7.5</f>
        <v>16.86</v>
      </c>
      <c r="K27" s="98">
        <f>I354</f>
        <v>0</v>
      </c>
      <c r="L27" s="151" t="s">
        <v>73</v>
      </c>
      <c r="M27" s="131"/>
      <c r="O27" s="100"/>
      <c r="P27" s="100"/>
      <c r="Q27" s="101"/>
      <c r="S27" s="144"/>
    </row>
    <row r="28" spans="1:19" ht="15" customHeight="1" x14ac:dyDescent="0.2">
      <c r="A28" s="94" t="s">
        <v>74</v>
      </c>
      <c r="B28" s="152" t="s">
        <v>80</v>
      </c>
      <c r="C28" s="153"/>
      <c r="D28" s="154"/>
      <c r="E28" s="152"/>
      <c r="F28" s="153"/>
      <c r="G28" s="154"/>
      <c r="H28" s="98">
        <f>7.19+0+315.47</f>
        <v>322.66000000000003</v>
      </c>
      <c r="I28" s="98">
        <v>0</v>
      </c>
      <c r="J28" s="98">
        <v>0</v>
      </c>
      <c r="K28" s="98">
        <v>0</v>
      </c>
      <c r="L28" s="151"/>
      <c r="M28" s="131"/>
      <c r="O28" s="100"/>
      <c r="P28" s="100"/>
      <c r="Q28" s="101"/>
      <c r="S28" s="144"/>
    </row>
    <row r="29" spans="1:19" ht="15" customHeight="1" x14ac:dyDescent="0.2">
      <c r="A29" s="94" t="s">
        <v>75</v>
      </c>
      <c r="B29" s="152" t="s">
        <v>80</v>
      </c>
      <c r="C29" s="153"/>
      <c r="D29" s="154"/>
      <c r="E29" s="152"/>
      <c r="F29" s="153"/>
      <c r="G29" s="154"/>
      <c r="H29" s="98">
        <v>0</v>
      </c>
      <c r="I29" s="98">
        <v>0</v>
      </c>
      <c r="J29" s="98">
        <f>184.94+1240.81+469.06+2992.81+1540*0.2</f>
        <v>5195.62</v>
      </c>
      <c r="K29" s="98">
        <f>I358</f>
        <v>0</v>
      </c>
      <c r="L29" s="151"/>
      <c r="M29" s="131"/>
      <c r="O29" s="100"/>
      <c r="P29" s="100"/>
      <c r="Q29" s="101"/>
      <c r="S29" s="144"/>
    </row>
    <row r="30" spans="1:19" ht="15" customHeight="1" x14ac:dyDescent="0.2">
      <c r="A30" s="94" t="s">
        <v>72</v>
      </c>
      <c r="B30" s="152" t="s">
        <v>77</v>
      </c>
      <c r="C30" s="153"/>
      <c r="D30" s="154"/>
      <c r="E30" s="152"/>
      <c r="F30" s="153"/>
      <c r="G30" s="154"/>
      <c r="H30" s="98">
        <v>0</v>
      </c>
      <c r="I30" s="98">
        <v>0</v>
      </c>
      <c r="J30" s="98">
        <f>28.63+221.44+529.51+197.18+260*0.2</f>
        <v>1028.76</v>
      </c>
      <c r="K30" s="98">
        <v>0</v>
      </c>
      <c r="L30" s="151"/>
      <c r="M30" s="131"/>
      <c r="O30" s="100"/>
      <c r="P30" s="100"/>
      <c r="Q30" s="101"/>
      <c r="S30" s="144"/>
    </row>
    <row r="31" spans="1:19" ht="15" customHeight="1" x14ac:dyDescent="0.2">
      <c r="A31" s="94" t="s">
        <v>71</v>
      </c>
      <c r="B31" s="152" t="s">
        <v>79</v>
      </c>
      <c r="C31" s="153"/>
      <c r="D31" s="154"/>
      <c r="E31" s="152"/>
      <c r="F31" s="153"/>
      <c r="G31" s="154"/>
      <c r="H31" s="98">
        <f>757.13+8.44+162.91</f>
        <v>928.48</v>
      </c>
      <c r="I31" s="98">
        <v>0</v>
      </c>
      <c r="J31" s="98">
        <v>0</v>
      </c>
      <c r="K31" s="98">
        <v>0</v>
      </c>
      <c r="L31" s="151"/>
      <c r="M31" s="131"/>
      <c r="O31" s="100"/>
      <c r="P31" s="100"/>
      <c r="Q31" s="101"/>
      <c r="S31" s="144"/>
    </row>
    <row r="32" spans="1:19" ht="15" customHeight="1" x14ac:dyDescent="0.2">
      <c r="A32" s="94" t="s">
        <v>76</v>
      </c>
      <c r="B32" s="152" t="s">
        <v>79</v>
      </c>
      <c r="C32" s="153"/>
      <c r="D32" s="154"/>
      <c r="E32" s="152"/>
      <c r="F32" s="153"/>
      <c r="G32" s="154"/>
      <c r="H32" s="98">
        <v>0</v>
      </c>
      <c r="I32" s="98">
        <v>0</v>
      </c>
      <c r="J32" s="98">
        <f>3261.4+732.32+39.81+3500*0.2</f>
        <v>4733.53</v>
      </c>
      <c r="K32" s="98">
        <f>I361</f>
        <v>0</v>
      </c>
      <c r="L32" s="151"/>
      <c r="M32" s="131"/>
      <c r="O32" s="100"/>
      <c r="P32" s="100"/>
      <c r="Q32" s="101"/>
      <c r="S32" s="144"/>
    </row>
    <row r="33" spans="1:19" ht="15" customHeight="1" x14ac:dyDescent="0.2">
      <c r="A33" s="94" t="s">
        <v>78</v>
      </c>
      <c r="B33" s="152" t="s">
        <v>82</v>
      </c>
      <c r="C33" s="96"/>
      <c r="D33" s="97"/>
      <c r="E33" s="146"/>
      <c r="F33" s="96"/>
      <c r="G33" s="97"/>
      <c r="H33" s="98">
        <v>0</v>
      </c>
      <c r="I33" s="98">
        <v>0</v>
      </c>
      <c r="J33" s="98">
        <f>1537.9+850*0.2</f>
        <v>1707.9</v>
      </c>
      <c r="K33" s="98">
        <f>I362</f>
        <v>0</v>
      </c>
      <c r="L33" s="99"/>
      <c r="M33" s="131"/>
      <c r="O33" s="100"/>
      <c r="P33" s="100"/>
      <c r="Q33" s="101"/>
      <c r="S33" s="144"/>
    </row>
    <row r="34" spans="1:19" ht="15" customHeight="1" x14ac:dyDescent="0.2">
      <c r="A34" s="94" t="s">
        <v>81</v>
      </c>
      <c r="B34" s="152" t="s">
        <v>83</v>
      </c>
      <c r="C34" s="96"/>
      <c r="D34" s="97"/>
      <c r="E34" s="146"/>
      <c r="F34" s="96"/>
      <c r="G34" s="97"/>
      <c r="H34" s="98">
        <v>0</v>
      </c>
      <c r="I34" s="98">
        <v>0</v>
      </c>
      <c r="J34" s="98">
        <f>2724.18+750*0.2</f>
        <v>2874.18</v>
      </c>
      <c r="K34" s="98">
        <f t="shared" ref="K34" si="0">I363</f>
        <v>0</v>
      </c>
      <c r="L34" s="99"/>
      <c r="M34" s="131"/>
      <c r="O34" s="100"/>
      <c r="P34" s="100"/>
      <c r="Q34" s="101"/>
      <c r="S34" s="144"/>
    </row>
    <row r="35" spans="1:19" s="108" customFormat="1" ht="5.0999999999999996" customHeight="1" thickBot="1" x14ac:dyDescent="0.25">
      <c r="A35" s="102"/>
      <c r="B35" s="103"/>
      <c r="C35" s="104"/>
      <c r="D35" s="105"/>
      <c r="E35" s="103"/>
      <c r="F35" s="104"/>
      <c r="G35" s="105"/>
      <c r="H35" s="105"/>
      <c r="I35" s="105"/>
      <c r="J35" s="105"/>
      <c r="K35" s="106"/>
      <c r="L35" s="107"/>
      <c r="M35" s="68"/>
    </row>
    <row r="36" spans="1:19" s="108" customFormat="1" ht="15" customHeight="1" thickBot="1" x14ac:dyDescent="0.25">
      <c r="A36" s="220" t="s">
        <v>11</v>
      </c>
      <c r="B36" s="221"/>
      <c r="C36" s="221"/>
      <c r="D36" s="221"/>
      <c r="E36" s="221"/>
      <c r="F36" s="221"/>
      <c r="G36" s="221"/>
      <c r="H36" s="109">
        <f>SUM(H13:H35)</f>
        <v>7504.98</v>
      </c>
      <c r="I36" s="109">
        <f>SUM(I13:I35)</f>
        <v>0</v>
      </c>
      <c r="J36" s="109">
        <f>SUM(J13:J35)</f>
        <v>19317.689999999999</v>
      </c>
      <c r="K36" s="109">
        <f>SUM(K13:K35)</f>
        <v>0</v>
      </c>
      <c r="L36" s="110"/>
      <c r="M36" s="68"/>
    </row>
    <row r="38" spans="1:19" s="108" customFormat="1" ht="15" customHeight="1" x14ac:dyDescent="0.2">
      <c r="A38" s="68"/>
      <c r="B38" s="111"/>
      <c r="C38" s="112"/>
      <c r="D38" s="113"/>
      <c r="E38" s="114"/>
      <c r="F38" s="69"/>
      <c r="G38" s="115"/>
      <c r="H38" s="131">
        <f>H36</f>
        <v>7504.98</v>
      </c>
      <c r="I38" s="158">
        <f>I36</f>
        <v>0</v>
      </c>
      <c r="J38" s="158">
        <f>J36*1.25</f>
        <v>24147.11</v>
      </c>
      <c r="K38" s="159">
        <f>K36*1.25</f>
        <v>0</v>
      </c>
      <c r="L38" s="116"/>
      <c r="M38" s="68"/>
    </row>
    <row r="39" spans="1:19" ht="15" customHeight="1" x14ac:dyDescent="0.2">
      <c r="E39" s="113"/>
      <c r="F39" s="116"/>
      <c r="H39" s="113"/>
    </row>
    <row r="40" spans="1:19" ht="15" customHeight="1" x14ac:dyDescent="0.2">
      <c r="E40" s="113"/>
      <c r="F40" s="116"/>
      <c r="H40" s="113"/>
    </row>
    <row r="41" spans="1:19" ht="15" customHeight="1" x14ac:dyDescent="0.2">
      <c r="E41" s="113"/>
      <c r="F41" s="116"/>
      <c r="G41" s="117"/>
      <c r="H41" s="113"/>
      <c r="I41" s="117"/>
      <c r="J41" s="117"/>
      <c r="K41" s="117"/>
      <c r="L41" s="118"/>
      <c r="M41" s="119"/>
      <c r="N41" s="120"/>
      <c r="O41" s="120"/>
      <c r="P41" s="120"/>
      <c r="Q41" s="120"/>
      <c r="R41" s="120"/>
    </row>
    <row r="42" spans="1:19" ht="15" customHeight="1" x14ac:dyDescent="0.2">
      <c r="E42" s="113"/>
      <c r="F42" s="116"/>
      <c r="H42" s="113"/>
    </row>
    <row r="43" spans="1:19" ht="15" customHeight="1" x14ac:dyDescent="0.2">
      <c r="E43" s="113"/>
      <c r="F43" s="116"/>
      <c r="H43" s="113"/>
    </row>
    <row r="44" spans="1:19" ht="15" customHeight="1" x14ac:dyDescent="0.2">
      <c r="E44" s="113"/>
      <c r="F44" s="116"/>
      <c r="H44" s="113"/>
    </row>
    <row r="45" spans="1:19" ht="15" customHeight="1" x14ac:dyDescent="0.2">
      <c r="E45" s="113"/>
      <c r="F45" s="116"/>
      <c r="H45" s="113"/>
    </row>
    <row r="46" spans="1:19" ht="15" customHeight="1" x14ac:dyDescent="0.2">
      <c r="E46" s="113"/>
      <c r="F46" s="116"/>
      <c r="H46" s="113"/>
    </row>
    <row r="47" spans="1:19" ht="15" customHeight="1" x14ac:dyDescent="0.2">
      <c r="E47" s="113"/>
      <c r="F47" s="116"/>
      <c r="H47" s="113"/>
    </row>
    <row r="48" spans="1:19" ht="15" customHeight="1" x14ac:dyDescent="0.2">
      <c r="E48" s="113"/>
      <c r="F48" s="116"/>
      <c r="H48" s="113"/>
    </row>
    <row r="49" spans="2:13" s="122" customFormat="1" ht="15" customHeight="1" x14ac:dyDescent="0.2">
      <c r="B49" s="121"/>
      <c r="D49" s="123"/>
      <c r="E49" s="123"/>
      <c r="F49" s="124"/>
      <c r="G49" s="123"/>
      <c r="H49" s="123"/>
      <c r="I49" s="123"/>
      <c r="J49" s="123"/>
      <c r="K49" s="123"/>
      <c r="L49" s="124"/>
      <c r="M49" s="125"/>
    </row>
    <row r="50" spans="2:13" ht="15" customHeight="1" x14ac:dyDescent="0.2">
      <c r="E50" s="113"/>
      <c r="F50" s="116"/>
      <c r="H50" s="113"/>
    </row>
    <row r="51" spans="2:13" ht="15" customHeight="1" x14ac:dyDescent="0.2">
      <c r="G51" s="117"/>
      <c r="I51" s="117"/>
      <c r="J51" s="117"/>
    </row>
    <row r="76" spans="1:18" s="113" customFormat="1" ht="15" customHeight="1" x14ac:dyDescent="0.2">
      <c r="A76" s="69"/>
      <c r="B76" s="111"/>
      <c r="C76" s="69"/>
      <c r="E76" s="111"/>
      <c r="F76" s="69"/>
      <c r="G76" s="117"/>
      <c r="H76" s="111"/>
      <c r="I76" s="117"/>
      <c r="J76" s="117"/>
      <c r="L76" s="116"/>
      <c r="M76" s="68"/>
      <c r="N76" s="69"/>
      <c r="O76" s="69"/>
      <c r="P76" s="69"/>
      <c r="Q76" s="69"/>
      <c r="R76" s="69"/>
    </row>
    <row r="77" spans="1:18" s="113" customFormat="1" ht="15" customHeight="1" x14ac:dyDescent="0.2">
      <c r="A77" s="69"/>
      <c r="B77" s="111"/>
      <c r="C77" s="69"/>
      <c r="E77" s="111"/>
      <c r="F77" s="69"/>
      <c r="G77" s="126"/>
      <c r="H77" s="111"/>
      <c r="I77" s="126"/>
      <c r="J77" s="126"/>
      <c r="L77" s="116"/>
      <c r="M77" s="68"/>
      <c r="N77" s="69"/>
      <c r="O77" s="69"/>
      <c r="P77" s="69"/>
      <c r="Q77" s="69"/>
      <c r="R77" s="69"/>
    </row>
  </sheetData>
  <autoFilter ref="A13:R34" xr:uid="{00000000-0009-0000-0000-000002000000}"/>
  <mergeCells count="8">
    <mergeCell ref="A9:L9"/>
    <mergeCell ref="M10:M12"/>
    <mergeCell ref="A36:G36"/>
    <mergeCell ref="H10:K11"/>
    <mergeCell ref="A10:A12"/>
    <mergeCell ref="B10:D12"/>
    <mergeCell ref="E10:G12"/>
    <mergeCell ref="L10:L12"/>
  </mergeCells>
  <conditionalFormatting sqref="B29:G29">
    <cfRule type="expression" dxfId="105" priority="368">
      <formula>#REF!&gt;#REF!</formula>
    </cfRule>
  </conditionalFormatting>
  <conditionalFormatting sqref="L29">
    <cfRule type="expression" dxfId="104" priority="366">
      <formula>#REF!&gt;#REF!</formula>
    </cfRule>
  </conditionalFormatting>
  <conditionalFormatting sqref="H33:L33">
    <cfRule type="cellIs" priority="297" stopIfTrue="1" operator="equal">
      <formula>0</formula>
    </cfRule>
  </conditionalFormatting>
  <conditionalFormatting sqref="A33">
    <cfRule type="expression" dxfId="103" priority="298">
      <formula>#REF!&gt;#REF!</formula>
    </cfRule>
  </conditionalFormatting>
  <conditionalFormatting sqref="L33">
    <cfRule type="expression" dxfId="102" priority="296">
      <formula>#REF!&gt;#REF!</formula>
    </cfRule>
  </conditionalFormatting>
  <conditionalFormatting sqref="B14:G15 L27 B27:G27 E16:G16 B17:G17 B19:G19 L23 B23:G23 L25 B25:G25 L16:L21">
    <cfRule type="expression" dxfId="101" priority="272">
      <formula>#REF!&gt;#REF!</formula>
    </cfRule>
  </conditionalFormatting>
  <conditionalFormatting sqref="A14:G14">
    <cfRule type="expression" dxfId="100" priority="244">
      <formula>#REF!&gt;#REF!</formula>
    </cfRule>
  </conditionalFormatting>
  <conditionalFormatting sqref="K14:L14">
    <cfRule type="expression" dxfId="99" priority="243">
      <formula>#REF!&gt;#REF!</formula>
    </cfRule>
  </conditionalFormatting>
  <conditionalFormatting sqref="J14">
    <cfRule type="expression" dxfId="98" priority="242">
      <formula>#REF!&gt;#REF!</formula>
    </cfRule>
  </conditionalFormatting>
  <conditionalFormatting sqref="I14">
    <cfRule type="expression" dxfId="97" priority="241">
      <formula>#REF!&gt;#REF!</formula>
    </cfRule>
  </conditionalFormatting>
  <conditionalFormatting sqref="H14">
    <cfRule type="expression" dxfId="96" priority="240">
      <formula>#REF!&gt;#REF!</formula>
    </cfRule>
  </conditionalFormatting>
  <conditionalFormatting sqref="A15">
    <cfRule type="expression" dxfId="95" priority="234">
      <formula>#REF!&gt;#REF!</formula>
    </cfRule>
  </conditionalFormatting>
  <conditionalFormatting sqref="K15:L15">
    <cfRule type="expression" dxfId="94" priority="233">
      <formula>#REF!&gt;#REF!</formula>
    </cfRule>
  </conditionalFormatting>
  <conditionalFormatting sqref="J15">
    <cfRule type="expression" dxfId="93" priority="232">
      <formula>#REF!&gt;#REF!</formula>
    </cfRule>
  </conditionalFormatting>
  <conditionalFormatting sqref="H15">
    <cfRule type="expression" dxfId="92" priority="231">
      <formula>#REF!&gt;#REF!</formula>
    </cfRule>
  </conditionalFormatting>
  <conditionalFormatting sqref="B15:G15">
    <cfRule type="expression" dxfId="91" priority="230">
      <formula>#REF!&gt;#REF!</formula>
    </cfRule>
  </conditionalFormatting>
  <conditionalFormatting sqref="I15">
    <cfRule type="expression" dxfId="90" priority="229">
      <formula>#REF!&gt;#REF!</formula>
    </cfRule>
  </conditionalFormatting>
  <conditionalFormatting sqref="A16:G16">
    <cfRule type="expression" dxfId="89" priority="222">
      <formula>#REF!&gt;#REF!</formula>
    </cfRule>
  </conditionalFormatting>
  <conditionalFormatting sqref="K16:L16">
    <cfRule type="expression" dxfId="88" priority="221">
      <formula>#REF!&gt;#REF!</formula>
    </cfRule>
  </conditionalFormatting>
  <conditionalFormatting sqref="J16">
    <cfRule type="expression" dxfId="87" priority="220">
      <formula>#REF!&gt;#REF!</formula>
    </cfRule>
  </conditionalFormatting>
  <conditionalFormatting sqref="I16">
    <cfRule type="expression" dxfId="86" priority="219">
      <formula>#REF!&gt;#REF!</formula>
    </cfRule>
  </conditionalFormatting>
  <conditionalFormatting sqref="H16">
    <cfRule type="expression" dxfId="85" priority="218">
      <formula>#REF!&gt;#REF!</formula>
    </cfRule>
  </conditionalFormatting>
  <conditionalFormatting sqref="A17">
    <cfRule type="expression" dxfId="84" priority="212">
      <formula>#REF!&gt;#REF!</formula>
    </cfRule>
  </conditionalFormatting>
  <conditionalFormatting sqref="K17:L17">
    <cfRule type="expression" dxfId="83" priority="211">
      <formula>#REF!&gt;#REF!</formula>
    </cfRule>
  </conditionalFormatting>
  <conditionalFormatting sqref="J17">
    <cfRule type="expression" dxfId="82" priority="210">
      <formula>#REF!&gt;#REF!</formula>
    </cfRule>
  </conditionalFormatting>
  <conditionalFormatting sqref="H17">
    <cfRule type="expression" dxfId="81" priority="209">
      <formula>#REF!&gt;#REF!</formula>
    </cfRule>
  </conditionalFormatting>
  <conditionalFormatting sqref="B17:G17">
    <cfRule type="expression" dxfId="80" priority="208">
      <formula>#REF!&gt;#REF!</formula>
    </cfRule>
  </conditionalFormatting>
  <conditionalFormatting sqref="I17">
    <cfRule type="expression" dxfId="79" priority="207">
      <formula>#REF!&gt;#REF!</formula>
    </cfRule>
  </conditionalFormatting>
  <conditionalFormatting sqref="A18:G18">
    <cfRule type="expression" dxfId="78" priority="200">
      <formula>#REF!&gt;#REF!</formula>
    </cfRule>
  </conditionalFormatting>
  <conditionalFormatting sqref="K18:L18">
    <cfRule type="expression" dxfId="77" priority="199">
      <formula>#REF!&gt;#REF!</formula>
    </cfRule>
  </conditionalFormatting>
  <conditionalFormatting sqref="J18">
    <cfRule type="expression" dxfId="76" priority="198">
      <formula>#REF!&gt;#REF!</formula>
    </cfRule>
  </conditionalFormatting>
  <conditionalFormatting sqref="I18">
    <cfRule type="expression" dxfId="75" priority="197">
      <formula>#REF!&gt;#REF!</formula>
    </cfRule>
  </conditionalFormatting>
  <conditionalFormatting sqref="H18">
    <cfRule type="expression" dxfId="74" priority="196">
      <formula>#REF!&gt;#REF!</formula>
    </cfRule>
  </conditionalFormatting>
  <conditionalFormatting sqref="A23">
    <cfRule type="expression" dxfId="73" priority="119">
      <formula>#REF!&gt;#REF!</formula>
    </cfRule>
  </conditionalFormatting>
  <conditionalFormatting sqref="A19">
    <cfRule type="expression" dxfId="72" priority="190">
      <formula>#REF!&gt;#REF!</formula>
    </cfRule>
  </conditionalFormatting>
  <conditionalFormatting sqref="K19:L19">
    <cfRule type="expression" dxfId="71" priority="189">
      <formula>#REF!&gt;#REF!</formula>
    </cfRule>
  </conditionalFormatting>
  <conditionalFormatting sqref="J19">
    <cfRule type="expression" dxfId="70" priority="188">
      <formula>#REF!&gt;#REF!</formula>
    </cfRule>
  </conditionalFormatting>
  <conditionalFormatting sqref="H19">
    <cfRule type="expression" dxfId="69" priority="187">
      <formula>#REF!&gt;#REF!</formula>
    </cfRule>
  </conditionalFormatting>
  <conditionalFormatting sqref="I19">
    <cfRule type="expression" dxfId="68" priority="185">
      <formula>#REF!&gt;#REF!</formula>
    </cfRule>
  </conditionalFormatting>
  <conditionalFormatting sqref="A20:G20">
    <cfRule type="expression" dxfId="67" priority="178">
      <formula>#REF!&gt;#REF!</formula>
    </cfRule>
  </conditionalFormatting>
  <conditionalFormatting sqref="K20:L20">
    <cfRule type="expression" dxfId="66" priority="177">
      <formula>#REF!&gt;#REF!</formula>
    </cfRule>
  </conditionalFormatting>
  <conditionalFormatting sqref="J20">
    <cfRule type="expression" dxfId="65" priority="176">
      <formula>#REF!&gt;#REF!</formula>
    </cfRule>
  </conditionalFormatting>
  <conditionalFormatting sqref="I20">
    <cfRule type="expression" dxfId="64" priority="175">
      <formula>#REF!&gt;#REF!</formula>
    </cfRule>
  </conditionalFormatting>
  <conditionalFormatting sqref="H20">
    <cfRule type="expression" dxfId="63" priority="174">
      <formula>#REF!&gt;#REF!</formula>
    </cfRule>
  </conditionalFormatting>
  <conditionalFormatting sqref="A21:G21">
    <cfRule type="expression" dxfId="62" priority="150">
      <formula>#REF!&gt;#REF!</formula>
    </cfRule>
  </conditionalFormatting>
  <conditionalFormatting sqref="K21:L21">
    <cfRule type="expression" dxfId="61" priority="149">
      <formula>#REF!&gt;#REF!</formula>
    </cfRule>
  </conditionalFormatting>
  <conditionalFormatting sqref="J21">
    <cfRule type="expression" dxfId="60" priority="148">
      <formula>#REF!&gt;#REF!</formula>
    </cfRule>
  </conditionalFormatting>
  <conditionalFormatting sqref="I21">
    <cfRule type="expression" dxfId="59" priority="147">
      <formula>#REF!&gt;#REF!</formula>
    </cfRule>
  </conditionalFormatting>
  <conditionalFormatting sqref="H21">
    <cfRule type="expression" dxfId="58" priority="146">
      <formula>#REF!&gt;#REF!</formula>
    </cfRule>
  </conditionalFormatting>
  <conditionalFormatting sqref="A22:G22">
    <cfRule type="expression" dxfId="57" priority="127">
      <formula>#REF!&gt;#REF!</formula>
    </cfRule>
  </conditionalFormatting>
  <conditionalFormatting sqref="K22:L22">
    <cfRule type="expression" dxfId="56" priority="126">
      <formula>#REF!&gt;#REF!</formula>
    </cfRule>
  </conditionalFormatting>
  <conditionalFormatting sqref="J22">
    <cfRule type="expression" dxfId="55" priority="125">
      <formula>#REF!&gt;#REF!</formula>
    </cfRule>
  </conditionalFormatting>
  <conditionalFormatting sqref="I22">
    <cfRule type="expression" dxfId="54" priority="124">
      <formula>#REF!&gt;#REF!</formula>
    </cfRule>
  </conditionalFormatting>
  <conditionalFormatting sqref="H22">
    <cfRule type="expression" dxfId="53" priority="123">
      <formula>#REF!&gt;#REF!</formula>
    </cfRule>
  </conditionalFormatting>
  <conditionalFormatting sqref="A27">
    <cfRule type="expression" dxfId="52" priority="75">
      <formula>#REF!&gt;#REF!</formula>
    </cfRule>
  </conditionalFormatting>
  <conditionalFormatting sqref="K23:L23">
    <cfRule type="expression" dxfId="51" priority="118">
      <formula>#REF!&gt;#REF!</formula>
    </cfRule>
  </conditionalFormatting>
  <conditionalFormatting sqref="J23">
    <cfRule type="expression" dxfId="50" priority="117">
      <formula>#REF!&gt;#REF!</formula>
    </cfRule>
  </conditionalFormatting>
  <conditionalFormatting sqref="H23">
    <cfRule type="expression" dxfId="49" priority="116">
      <formula>#REF!&gt;#REF!</formula>
    </cfRule>
  </conditionalFormatting>
  <conditionalFormatting sqref="I23">
    <cfRule type="expression" dxfId="48" priority="115">
      <formula>#REF!&gt;#REF!</formula>
    </cfRule>
  </conditionalFormatting>
  <conditionalFormatting sqref="A24:G24">
    <cfRule type="expression" dxfId="47" priority="105">
      <formula>#REF!&gt;#REF!</formula>
    </cfRule>
  </conditionalFormatting>
  <conditionalFormatting sqref="K24:L24">
    <cfRule type="expression" dxfId="46" priority="104">
      <formula>#REF!&gt;#REF!</formula>
    </cfRule>
  </conditionalFormatting>
  <conditionalFormatting sqref="J24">
    <cfRule type="expression" dxfId="45" priority="103">
      <formula>#REF!&gt;#REF!</formula>
    </cfRule>
  </conditionalFormatting>
  <conditionalFormatting sqref="I24">
    <cfRule type="expression" dxfId="44" priority="102">
      <formula>#REF!&gt;#REF!</formula>
    </cfRule>
  </conditionalFormatting>
  <conditionalFormatting sqref="H24">
    <cfRule type="expression" dxfId="43" priority="101">
      <formula>#REF!&gt;#REF!</formula>
    </cfRule>
  </conditionalFormatting>
  <conditionalFormatting sqref="A25">
    <cfRule type="expression" dxfId="42" priority="97">
      <formula>#REF!&gt;#REF!</formula>
    </cfRule>
  </conditionalFormatting>
  <conditionalFormatting sqref="K25:L25">
    <cfRule type="expression" dxfId="41" priority="96">
      <formula>#REF!&gt;#REF!</formula>
    </cfRule>
  </conditionalFormatting>
  <conditionalFormatting sqref="J25">
    <cfRule type="expression" dxfId="40" priority="95">
      <formula>#REF!&gt;#REF!</formula>
    </cfRule>
  </conditionalFormatting>
  <conditionalFormatting sqref="H25">
    <cfRule type="expression" dxfId="39" priority="94">
      <formula>#REF!&gt;#REF!</formula>
    </cfRule>
  </conditionalFormatting>
  <conditionalFormatting sqref="I25">
    <cfRule type="expression" dxfId="38" priority="93">
      <formula>#REF!&gt;#REF!</formula>
    </cfRule>
  </conditionalFormatting>
  <conditionalFormatting sqref="A26:G26">
    <cfRule type="expression" dxfId="37" priority="83">
      <formula>#REF!&gt;#REF!</formula>
    </cfRule>
  </conditionalFormatting>
  <conditionalFormatting sqref="K26:L26">
    <cfRule type="expression" dxfId="36" priority="82">
      <formula>#REF!&gt;#REF!</formula>
    </cfRule>
  </conditionalFormatting>
  <conditionalFormatting sqref="J26">
    <cfRule type="expression" dxfId="35" priority="81">
      <formula>#REF!&gt;#REF!</formula>
    </cfRule>
  </conditionalFormatting>
  <conditionalFormatting sqref="I26">
    <cfRule type="expression" dxfId="34" priority="80">
      <formula>#REF!&gt;#REF!</formula>
    </cfRule>
  </conditionalFormatting>
  <conditionalFormatting sqref="H26">
    <cfRule type="expression" dxfId="33" priority="79">
      <formula>#REF!&gt;#REF!</formula>
    </cfRule>
  </conditionalFormatting>
  <conditionalFormatting sqref="K27:L27">
    <cfRule type="expression" dxfId="32" priority="74">
      <formula>#REF!&gt;#REF!</formula>
    </cfRule>
  </conditionalFormatting>
  <conditionalFormatting sqref="J27">
    <cfRule type="expression" dxfId="31" priority="73">
      <formula>#REF!&gt;#REF!</formula>
    </cfRule>
  </conditionalFormatting>
  <conditionalFormatting sqref="H27">
    <cfRule type="expression" dxfId="30" priority="72">
      <formula>#REF!&gt;#REF!</formula>
    </cfRule>
  </conditionalFormatting>
  <conditionalFormatting sqref="I27">
    <cfRule type="expression" dxfId="29" priority="71">
      <formula>#REF!&gt;#REF!</formula>
    </cfRule>
  </conditionalFormatting>
  <conditionalFormatting sqref="A28:G28">
    <cfRule type="expression" dxfId="28" priority="61">
      <formula>#REF!&gt;#REF!</formula>
    </cfRule>
  </conditionalFormatting>
  <conditionalFormatting sqref="K28:L28">
    <cfRule type="expression" dxfId="27" priority="60">
      <formula>#REF!&gt;#REF!</formula>
    </cfRule>
  </conditionalFormatting>
  <conditionalFormatting sqref="J28">
    <cfRule type="expression" dxfId="26" priority="59">
      <formula>#REF!&gt;#REF!</formula>
    </cfRule>
  </conditionalFormatting>
  <conditionalFormatting sqref="I28">
    <cfRule type="expression" dxfId="25" priority="58">
      <formula>#REF!&gt;#REF!</formula>
    </cfRule>
  </conditionalFormatting>
  <conditionalFormatting sqref="H28">
    <cfRule type="expression" dxfId="24" priority="57">
      <formula>#REF!&gt;#REF!</formula>
    </cfRule>
  </conditionalFormatting>
  <conditionalFormatting sqref="H31">
    <cfRule type="expression" dxfId="23" priority="10">
      <formula>#REF!&gt;#REF!</formula>
    </cfRule>
  </conditionalFormatting>
  <conditionalFormatting sqref="A29">
    <cfRule type="expression" dxfId="22" priority="53">
      <formula>#REF!&gt;#REF!</formula>
    </cfRule>
  </conditionalFormatting>
  <conditionalFormatting sqref="K29:L29">
    <cfRule type="expression" dxfId="21" priority="52">
      <formula>#REF!&gt;#REF!</formula>
    </cfRule>
  </conditionalFormatting>
  <conditionalFormatting sqref="J29">
    <cfRule type="expression" dxfId="20" priority="51">
      <formula>#REF!&gt;#REF!</formula>
    </cfRule>
  </conditionalFormatting>
  <conditionalFormatting sqref="H29">
    <cfRule type="expression" dxfId="19" priority="50">
      <formula>#REF!&gt;#REF!</formula>
    </cfRule>
  </conditionalFormatting>
  <conditionalFormatting sqref="I29">
    <cfRule type="expression" dxfId="18" priority="49">
      <formula>#REF!&gt;#REF!</formula>
    </cfRule>
  </conditionalFormatting>
  <conditionalFormatting sqref="J31">
    <cfRule type="expression" dxfId="17" priority="12">
      <formula>#REF!&gt;#REF!</formula>
    </cfRule>
  </conditionalFormatting>
  <conditionalFormatting sqref="I31">
    <cfRule type="expression" dxfId="16" priority="11">
      <formula>#REF!&gt;#REF!</formula>
    </cfRule>
  </conditionalFormatting>
  <conditionalFormatting sqref="B32:G32">
    <cfRule type="expression" dxfId="15" priority="16">
      <formula>#REF!&gt;#REF!</formula>
    </cfRule>
  </conditionalFormatting>
  <conditionalFormatting sqref="L32">
    <cfRule type="expression" dxfId="14" priority="15">
      <formula>#REF!&gt;#REF!</formula>
    </cfRule>
  </conditionalFormatting>
  <conditionalFormatting sqref="A30:G30">
    <cfRule type="expression" dxfId="13" priority="31">
      <formula>#REF!&gt;#REF!</formula>
    </cfRule>
  </conditionalFormatting>
  <conditionalFormatting sqref="K30:L30">
    <cfRule type="expression" dxfId="12" priority="30">
      <formula>#REF!&gt;#REF!</formula>
    </cfRule>
  </conditionalFormatting>
  <conditionalFormatting sqref="J30">
    <cfRule type="expression" dxfId="11" priority="29">
      <formula>#REF!&gt;#REF!</formula>
    </cfRule>
  </conditionalFormatting>
  <conditionalFormatting sqref="I30">
    <cfRule type="expression" dxfId="10" priority="28">
      <formula>#REF!&gt;#REF!</formula>
    </cfRule>
  </conditionalFormatting>
  <conditionalFormatting sqref="H30">
    <cfRule type="expression" dxfId="9" priority="27">
      <formula>#REF!&gt;#REF!</formula>
    </cfRule>
  </conditionalFormatting>
  <conditionalFormatting sqref="A32">
    <cfRule type="expression" dxfId="8" priority="9">
      <formula>#REF!&gt;#REF!</formula>
    </cfRule>
  </conditionalFormatting>
  <conditionalFormatting sqref="K32:L32 K32:K34">
    <cfRule type="expression" dxfId="7" priority="8">
      <formula>#REF!&gt;#REF!</formula>
    </cfRule>
  </conditionalFormatting>
  <conditionalFormatting sqref="J32:J34">
    <cfRule type="expression" dxfId="6" priority="7">
      <formula>#REF!&gt;#REF!</formula>
    </cfRule>
  </conditionalFormatting>
  <conditionalFormatting sqref="H32:H34">
    <cfRule type="expression" dxfId="5" priority="6">
      <formula>#REF!&gt;#REF!</formula>
    </cfRule>
  </conditionalFormatting>
  <conditionalFormatting sqref="I32:I34">
    <cfRule type="expression" dxfId="4" priority="5">
      <formula>#REF!&gt;#REF!</formula>
    </cfRule>
  </conditionalFormatting>
  <conditionalFormatting sqref="A31:G31">
    <cfRule type="expression" dxfId="3" priority="14">
      <formula>#REF!&gt;#REF!</formula>
    </cfRule>
  </conditionalFormatting>
  <conditionalFormatting sqref="K31:L31">
    <cfRule type="expression" dxfId="2" priority="13">
      <formula>#REF!&gt;#REF!</formula>
    </cfRule>
  </conditionalFormatting>
  <conditionalFormatting sqref="H34:L34">
    <cfRule type="cellIs" priority="3" stopIfTrue="1" operator="equal">
      <formula>0</formula>
    </cfRule>
  </conditionalFormatting>
  <conditionalFormatting sqref="A34">
    <cfRule type="expression" dxfId="1" priority="4">
      <formula>#REF!&gt;#REF!</formula>
    </cfRule>
  </conditionalFormatting>
  <conditionalFormatting sqref="L34">
    <cfRule type="expression" dxfId="0" priority="2">
      <formula>#REF!&gt;#REF!</formula>
    </cfRule>
  </conditionalFormatting>
  <conditionalFormatting sqref="J33">
    <cfRule type="cellIs" priority="1" stopIfTrue="1" operator="equal">
      <formula>0</formula>
    </cfRule>
  </conditionalFormatting>
  <printOptions horizontalCentered="1" verticalCentered="1"/>
  <pageMargins left="0.78740157480314965" right="0.51181102362204722" top="0.51181102362204722" bottom="0.51181102362204722" header="0.39370078740157483" footer="0.39370078740157483"/>
  <pageSetup paperSize="9" orientation="portrait" r:id="rId1"/>
  <headerFooter>
    <oddFooter>&amp;L&amp;5&amp;Z&amp;F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resumo</vt:lpstr>
      <vt:lpstr>Distribuição</vt:lpstr>
      <vt:lpstr>Resumo dos Cortes</vt:lpstr>
      <vt:lpstr>Distribuição!Area_de_impressao</vt:lpstr>
      <vt:lpstr>resumo!Area_de_impressao</vt:lpstr>
      <vt:lpstr>'Resumo dos Cortes'!Area_de_impressao</vt:lpstr>
      <vt:lpstr>Distribuição!Titulos_de_impressao</vt:lpstr>
      <vt:lpstr>'Resumo dos Cortes'!Titulos_de_impressao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Guilherme</dc:creator>
  <cp:lastModifiedBy>Márcio</cp:lastModifiedBy>
  <cp:lastPrinted>2017-10-06T23:47:53Z</cp:lastPrinted>
  <dcterms:created xsi:type="dcterms:W3CDTF">1996-05-22T14:49:45Z</dcterms:created>
  <dcterms:modified xsi:type="dcterms:W3CDTF">2017-10-09T23:37:37Z</dcterms:modified>
</cp:coreProperties>
</file>